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" sheetId="2" r:id="rId2"/>
    <sheet name="67 ГА 2018г" sheetId="3" state="hidden" r:id="rId3"/>
  </sheets>
  <definedNames>
    <definedName name="_xlnm.Print_Area" localSheetId="1">'стр.2'!$A$1:$M$14</definedName>
  </definedNames>
  <calcPr fullCalcOnLoad="1"/>
</workbook>
</file>

<file path=xl/sharedStrings.xml><?xml version="1.0" encoding="utf-8"?>
<sst xmlns="http://schemas.openxmlformats.org/spreadsheetml/2006/main" count="211" uniqueCount="145">
  <si>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</si>
  <si>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</si>
  <si>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</si>
  <si>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</si>
  <si>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</si>
  <si>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</si>
  <si>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</si>
  <si>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</si>
  <si>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</si>
  <si>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</si>
  <si>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</si>
  <si>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</si>
  <si>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</si>
  <si>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</si>
  <si>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</si>
  <si>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</si>
  <si>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</si>
  <si>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</si>
  <si>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</si>
  <si>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</si>
  <si>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</si>
  <si>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</si>
  <si>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</si>
  <si>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</si>
  <si>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</si>
  <si>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</si>
  <si>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</si>
  <si>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</si>
  <si>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</si>
  <si>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</si>
  <si>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</si>
  <si>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</si>
  <si>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</si>
  <si>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</si>
  <si>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</si>
  <si>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</si>
  <si>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</si>
  <si>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</si>
  <si>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</si>
  <si>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</si>
  <si>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</si>
  <si>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</si>
  <si>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</si>
  <si>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</si>
  <si>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</si>
  <si>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</si>
  <si>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</si>
  <si>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</si>
  <si>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</si>
  <si>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</si>
  <si>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</si>
  <si>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</si>
  <si>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</si>
  <si>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</si>
  <si>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</si>
  <si>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</si>
  <si>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</si>
  <si>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</si>
  <si>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</si>
  <si>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</si>
  <si>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</si>
  <si>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</si>
  <si>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</si>
  <si>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</si>
  <si>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</si>
  <si>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</si>
  <si>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Обеспечение авиационной безопасности</t>
  </si>
  <si>
    <t>Предоставление аэровокзального комплекса</t>
  </si>
  <si>
    <t>Обслуживание пассажиров</t>
  </si>
  <si>
    <t>Обеспечение взлета и посадки</t>
  </si>
  <si>
    <t>-</t>
  </si>
  <si>
    <t>1.4</t>
  </si>
  <si>
    <t>2.4</t>
  </si>
  <si>
    <t>финансово-хозяйственной деятельности ООО "Аэропорт Байкал" в сфере выполнения</t>
  </si>
  <si>
    <t>Год 2014 (отчет)</t>
  </si>
  <si>
    <t>(249 370)</t>
  </si>
  <si>
    <t>61 529</t>
  </si>
  <si>
    <t>37 468</t>
  </si>
  <si>
    <t>27 046</t>
  </si>
  <si>
    <t>22 431</t>
  </si>
  <si>
    <t>(11 313)</t>
  </si>
  <si>
    <t>(64 034)</t>
  </si>
  <si>
    <t>(605)</t>
  </si>
  <si>
    <t>(804)</t>
  </si>
  <si>
    <t>(1 183)</t>
  </si>
  <si>
    <t>(561)</t>
  </si>
  <si>
    <t>Год 2018 (отчет)</t>
  </si>
  <si>
    <t>1.2. АЭРОПОРТОВОЕ ОБСЛУЖИВАНИЕ   Аэропорт Байкал за 2018 г.</t>
  </si>
  <si>
    <t>Наименование  показателя</t>
  </si>
  <si>
    <t>Код стр.</t>
  </si>
  <si>
    <r>
      <t xml:space="preserve">Всего </t>
    </r>
    <r>
      <rPr>
        <sz val="10"/>
        <color indexed="8"/>
        <rFont val="Times New Roman"/>
        <family val="1"/>
      </rPr>
      <t>(2+3+4+5+6+7+8+9+10+11+12)</t>
    </r>
  </si>
  <si>
    <t>в том числе</t>
  </si>
  <si>
    <t>Взлет-посадка</t>
  </si>
  <si>
    <t>Авиационная безопасность</t>
  </si>
  <si>
    <t>Пользование аэровокзалом</t>
  </si>
  <si>
    <t>Обработка грузов</t>
  </si>
  <si>
    <t>Опер. технич. обслуживание</t>
  </si>
  <si>
    <t>Прочая авиационная деяте льность</t>
  </si>
  <si>
    <t>Прочая неавиационная деят ельность</t>
  </si>
  <si>
    <t>ВВЛ</t>
  </si>
  <si>
    <t>МВЛ</t>
  </si>
  <si>
    <t>А</t>
  </si>
  <si>
    <t>Б</t>
  </si>
  <si>
    <r>
      <t xml:space="preserve">Расходы всего, тыс. руб. </t>
    </r>
    <r>
      <rPr>
        <sz val="10"/>
        <color indexed="8"/>
        <rFont val="Times New Roman"/>
        <family val="1"/>
      </rPr>
      <t>(290+300+310+320+ 330+340+350+360)</t>
    </r>
  </si>
  <si>
    <t>Оплата труда всего состава</t>
  </si>
  <si>
    <t>Отчисления на социальные нужды</t>
  </si>
  <si>
    <r>
      <t xml:space="preserve">Амортизация ОПФ всего </t>
    </r>
    <r>
      <rPr>
        <sz val="10"/>
        <color indexed="8"/>
        <rFont val="Times New Roman"/>
        <family val="1"/>
      </rPr>
      <t>(311+312+313)</t>
    </r>
  </si>
  <si>
    <t xml:space="preserve">из них </t>
  </si>
  <si>
    <t xml:space="preserve"> -спецавтотранспорт</t>
  </si>
  <si>
    <t xml:space="preserve"> -здания и сооружения</t>
  </si>
  <si>
    <t xml:space="preserve"> - прочие</t>
  </si>
  <si>
    <r>
      <t xml:space="preserve">Содержание и эксплуатация зданий, сооружений и оборудования, всего </t>
    </r>
    <r>
      <rPr>
        <sz val="10"/>
        <rFont val="Times New Roman"/>
        <family val="1"/>
      </rPr>
      <t>(321+322+323+324)</t>
    </r>
  </si>
  <si>
    <t xml:space="preserve"> -электроэнергия, отопление, водоснабжение, канализация</t>
  </si>
  <si>
    <t xml:space="preserve"> - радиосвязь</t>
  </si>
  <si>
    <r>
      <t xml:space="preserve">Затраты на ремонт ОПФ, всего </t>
    </r>
    <r>
      <rPr>
        <sz val="10"/>
        <rFont val="Times New Roman"/>
        <family val="1"/>
      </rPr>
      <t>(331+332+333)</t>
    </r>
  </si>
  <si>
    <t xml:space="preserve"> -спецавтотранспорта</t>
  </si>
  <si>
    <t xml:space="preserve"> -зданий и сооружений</t>
  </si>
  <si>
    <r>
      <t xml:space="preserve">Аренда и услуги сторонних предприятий и организаций, всего </t>
    </r>
    <r>
      <rPr>
        <sz val="10"/>
        <rFont val="Times New Roman"/>
        <family val="1"/>
      </rPr>
      <t>(341+342)</t>
    </r>
  </si>
  <si>
    <t xml:space="preserve"> -аренда каналов и услуги связи </t>
  </si>
  <si>
    <t xml:space="preserve">Прочие производственные расходы  </t>
  </si>
  <si>
    <t>Общехозяйственные расходы</t>
  </si>
  <si>
    <r>
      <t xml:space="preserve">Объем работ всего </t>
    </r>
    <r>
      <rPr>
        <sz val="10"/>
        <rFont val="Times New Roman"/>
        <family val="1"/>
      </rPr>
      <t>(371+372+373)</t>
    </r>
  </si>
  <si>
    <t>х</t>
  </si>
  <si>
    <t>из них предприятий</t>
  </si>
  <si>
    <t xml:space="preserve"> - собственного</t>
  </si>
  <si>
    <t xml:space="preserve"> - сторонних РФ</t>
  </si>
  <si>
    <t xml:space="preserve"> - иностранных</t>
  </si>
  <si>
    <t>тыс. тонн ВМ</t>
  </si>
  <si>
    <t>пасс.</t>
  </si>
  <si>
    <t>тонн</t>
  </si>
  <si>
    <r>
      <t xml:space="preserve">Себестоимость </t>
    </r>
    <r>
      <rPr>
        <sz val="10"/>
        <rFont val="Times New Roman"/>
        <family val="1"/>
      </rPr>
      <t>(280/370)</t>
    </r>
  </si>
  <si>
    <t>руб/тмвм</t>
  </si>
  <si>
    <t>руб/пасс</t>
  </si>
  <si>
    <t>руб/т</t>
  </si>
  <si>
    <r>
      <t xml:space="preserve">Из расходов всего - расходы на обслуживание ВС предприятий </t>
    </r>
    <r>
      <rPr>
        <sz val="10"/>
        <rFont val="Times New Roman"/>
        <family val="1"/>
      </rPr>
      <t>(280):</t>
    </r>
  </si>
  <si>
    <r>
      <t xml:space="preserve"> - собственного </t>
    </r>
    <r>
      <rPr>
        <sz val="10"/>
        <rFont val="Times New Roman"/>
        <family val="1"/>
      </rPr>
      <t>(380*371)</t>
    </r>
  </si>
  <si>
    <r>
      <t xml:space="preserve"> - сторонних РФ </t>
    </r>
    <r>
      <rPr>
        <sz val="10"/>
        <color indexed="8"/>
        <rFont val="Times New Roman"/>
        <family val="1"/>
      </rPr>
      <t>(380*372)</t>
    </r>
  </si>
  <si>
    <r>
      <t xml:space="preserve"> - иностранных </t>
    </r>
    <r>
      <rPr>
        <sz val="10"/>
        <color indexed="8"/>
        <rFont val="Times New Roman"/>
        <family val="1"/>
      </rPr>
      <t>(380*373)</t>
    </r>
  </si>
  <si>
    <r>
      <t xml:space="preserve">Доходы, всего </t>
    </r>
    <r>
      <rPr>
        <sz val="10"/>
        <color indexed="8"/>
        <rFont val="Times New Roman"/>
        <family val="1"/>
      </rPr>
      <t>(401+404+405)</t>
    </r>
    <r>
      <rPr>
        <sz val="12"/>
        <color indexed="8"/>
        <rFont val="Times New Roman"/>
        <family val="1"/>
      </rPr>
      <t xml:space="preserve"> в т.ч.</t>
    </r>
  </si>
  <si>
    <r>
      <t xml:space="preserve"> - обслуживание ВС предприятий всего </t>
    </r>
    <r>
      <rPr>
        <sz val="10"/>
        <color indexed="8"/>
        <rFont val="Times New Roman"/>
        <family val="1"/>
      </rPr>
      <t>(402+403)</t>
    </r>
  </si>
  <si>
    <t>из них</t>
  </si>
  <si>
    <t xml:space="preserve"> - аренда ОПФ</t>
  </si>
  <si>
    <r>
      <t xml:space="preserve">Финансовый результат </t>
    </r>
    <r>
      <rPr>
        <sz val="10"/>
        <color indexed="8"/>
        <rFont val="Times New Roman"/>
        <family val="1"/>
      </rPr>
      <t>(400-390)</t>
    </r>
  </si>
  <si>
    <t>-476</t>
  </si>
  <si>
    <t>II. Расшифровка расходов по финансово-хозяйственной деятельности (2018г.)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</si>
</sst>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  <numFmt numFmtId="174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left"/>
    </xf>
    <xf numFmtId="41" fontId="4" fillId="0" borderId="16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0" fontId="27" fillId="0" borderId="0" xfId="52" applyFont="1">
      <alignment/>
      <protection/>
    </xf>
    <xf numFmtId="0" fontId="27" fillId="0" borderId="16" xfId="52" applyFont="1" applyBorder="1" applyAlignment="1">
      <alignment horizontal="center" vertical="center"/>
      <protection/>
    </xf>
    <xf numFmtId="0" fontId="45" fillId="0" borderId="16" xfId="52" applyFont="1" applyBorder="1" applyAlignment="1">
      <alignment horizontal="center"/>
      <protection/>
    </xf>
    <xf numFmtId="0" fontId="27" fillId="0" borderId="16" xfId="52" applyFont="1" applyBorder="1" applyAlignment="1">
      <alignment vertical="top" wrapText="1"/>
      <protection/>
    </xf>
    <xf numFmtId="0" fontId="46" fillId="0" borderId="16" xfId="52" applyFont="1" applyBorder="1" applyAlignment="1">
      <alignment vertical="center"/>
      <protection/>
    </xf>
    <xf numFmtId="3" fontId="3" fillId="0" borderId="16" xfId="52" applyNumberFormat="1" applyFont="1" applyBorder="1" applyAlignment="1">
      <alignment horizontal="center" vertical="center"/>
      <protection/>
    </xf>
    <xf numFmtId="4" fontId="43" fillId="13" borderId="16" xfId="52" applyNumberFormat="1" applyFont="1" applyFill="1" applyBorder="1" applyAlignment="1">
      <alignment horizontal="center" vertical="center"/>
      <protection/>
    </xf>
    <xf numFmtId="0" fontId="3" fillId="0" borderId="16" xfId="52" applyFont="1" applyBorder="1" applyAlignment="1">
      <alignment vertical="top" wrapText="1"/>
      <protection/>
    </xf>
    <xf numFmtId="0" fontId="2" fillId="0" borderId="16" xfId="52" applyFont="1" applyBorder="1" applyAlignment="1">
      <alignment vertical="center"/>
      <protection/>
    </xf>
    <xf numFmtId="3" fontId="3" fillId="33" borderId="16" xfId="52" applyNumberFormat="1" applyFont="1" applyFill="1" applyBorder="1" applyAlignment="1">
      <alignment horizontal="center" vertical="center"/>
      <protection/>
    </xf>
    <xf numFmtId="0" fontId="27" fillId="0" borderId="27" xfId="52" applyFont="1" applyBorder="1" applyAlignment="1">
      <alignment vertical="top" wrapText="1"/>
      <protection/>
    </xf>
    <xf numFmtId="0" fontId="27" fillId="0" borderId="28" xfId="52" applyFont="1" applyBorder="1" applyAlignment="1">
      <alignment vertical="top" wrapText="1"/>
      <protection/>
    </xf>
    <xf numFmtId="0" fontId="3" fillId="0" borderId="28" xfId="52" applyFont="1" applyBorder="1" applyAlignment="1">
      <alignment vertical="top" wrapText="1"/>
      <protection/>
    </xf>
    <xf numFmtId="0" fontId="3" fillId="0" borderId="28" xfId="52" applyFont="1" applyBorder="1">
      <alignment/>
      <protection/>
    </xf>
    <xf numFmtId="0" fontId="3" fillId="0" borderId="29" xfId="52" applyFont="1" applyBorder="1" applyAlignment="1">
      <alignment vertical="top" wrapText="1"/>
      <protection/>
    </xf>
    <xf numFmtId="0" fontId="3" fillId="0" borderId="27" xfId="52" applyFont="1" applyBorder="1" applyAlignment="1">
      <alignment vertical="top" wrapText="1"/>
      <protection/>
    </xf>
    <xf numFmtId="3" fontId="43" fillId="33" borderId="16" xfId="52" applyNumberFormat="1" applyFont="1" applyFill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173" fontId="3" fillId="0" borderId="16" xfId="52" applyNumberFormat="1" applyFont="1" applyBorder="1" applyAlignment="1">
      <alignment horizontal="center" vertical="center"/>
      <protection/>
    </xf>
    <xf numFmtId="174" fontId="3" fillId="0" borderId="16" xfId="52" applyNumberFormat="1" applyFont="1" applyBorder="1" applyAlignment="1">
      <alignment horizontal="center" vertical="center"/>
      <protection/>
    </xf>
    <xf numFmtId="3" fontId="1" fillId="0" borderId="16" xfId="52" applyNumberFormat="1" applyFont="1" applyBorder="1" applyAlignment="1">
      <alignment horizontal="center" vertical="top" wrapText="1"/>
      <protection/>
    </xf>
    <xf numFmtId="3" fontId="2" fillId="0" borderId="16" xfId="52" applyNumberFormat="1" applyFont="1" applyBorder="1" applyAlignment="1">
      <alignment horizontal="center" vertical="top" wrapText="1"/>
      <protection/>
    </xf>
    <xf numFmtId="3" fontId="1" fillId="0" borderId="16" xfId="52" applyNumberFormat="1" applyFont="1" applyBorder="1" applyAlignment="1">
      <alignment horizontal="center" vertical="center"/>
      <protection/>
    </xf>
    <xf numFmtId="0" fontId="46" fillId="0" borderId="16" xfId="52" applyFont="1" applyBorder="1" applyAlignment="1">
      <alignment horizontal="center" vertical="center"/>
      <protection/>
    </xf>
    <xf numFmtId="0" fontId="27" fillId="0" borderId="29" xfId="52" applyFont="1" applyBorder="1" applyAlignment="1">
      <alignment vertical="top" wrapText="1"/>
      <protection/>
    </xf>
    <xf numFmtId="0" fontId="27" fillId="0" borderId="28" xfId="52" applyFont="1" applyBorder="1">
      <alignment/>
      <protection/>
    </xf>
    <xf numFmtId="0" fontId="27" fillId="0" borderId="29" xfId="52" applyFont="1" applyBorder="1">
      <alignment/>
      <protection/>
    </xf>
    <xf numFmtId="0" fontId="27" fillId="33" borderId="0" xfId="52" applyFont="1" applyFill="1">
      <alignment/>
      <protection/>
    </xf>
    <xf numFmtId="0" fontId="27" fillId="33" borderId="0" xfId="52" applyFont="1" applyFill="1" applyAlignment="1">
      <alignment horizontal="center" vertical="center"/>
      <protection/>
    </xf>
    <xf numFmtId="1" fontId="27" fillId="33" borderId="0" xfId="52" applyNumberFormat="1" applyFont="1" applyFill="1" applyAlignment="1">
      <alignment horizontal="center" vertical="center"/>
      <protection/>
    </xf>
    <xf numFmtId="41" fontId="1" fillId="33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6" xfId="52" applyFont="1" applyBorder="1" applyAlignment="1">
      <alignment horizontal="center" vertical="center" wrapText="1"/>
      <protection/>
    </xf>
    <xf numFmtId="0" fontId="27" fillId="0" borderId="18" xfId="52" applyFont="1" applyBorder="1" applyAlignment="1">
      <alignment vertical="center" wrapText="1"/>
      <protection/>
    </xf>
    <xf numFmtId="0" fontId="39" fillId="0" borderId="16" xfId="52" applyBorder="1" applyAlignment="1">
      <alignment vertical="center" wrapText="1"/>
      <protection/>
    </xf>
    <xf numFmtId="0" fontId="39" fillId="0" borderId="16" xfId="52" applyBorder="1" applyAlignment="1">
      <alignment horizontal="center" vertical="center" wrapText="1"/>
      <protection/>
    </xf>
    <xf numFmtId="0" fontId="39" fillId="0" borderId="16" xfId="52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"/>
  <sheetViews>
    <sheetView tabSelected="1" zoomScaleSheetLayoutView="120" zoomScalePageLayoutView="0" workbookViewId="0" topLeftCell="A1">
      <selection activeCell="A7" sqref="A7:D7"/>
    </sheetView>
  </sheetViews>
  <sheetFormatPr defaultColWidth="0.875" defaultRowHeight="12.75"/>
  <cols>
    <col min="1" max="1" width="6.875" style="2" customWidth="1"/>
    <col min="2" max="2" width="55.75390625" style="2" customWidth="1"/>
    <col min="3" max="3" width="13.875" style="2" customWidth="1"/>
    <col min="4" max="4" width="16.125" style="2" hidden="1" customWidth="1"/>
    <col min="5" max="5" width="16.125" style="54" customWidth="1"/>
    <col min="6" max="82" width="0.875" style="26" customWidth="1"/>
    <col min="83" max="16384" width="0.875" style="2" customWidth="1"/>
  </cols>
  <sheetData>
    <row r="1" spans="4:5" ht="15">
      <c r="D1" s="3" t="s">
        <v>0</v>
      </c>
      <c r="E1" s="51" t="s">
        <v>0</v>
      </c>
    </row>
    <row r="3" spans="1:82" s="11" customFormat="1" ht="15.75">
      <c r="A3" s="92" t="s">
        <v>15</v>
      </c>
      <c r="B3" s="92"/>
      <c r="C3" s="92"/>
      <c r="D3" s="92"/>
      <c r="E3" s="52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</row>
    <row r="4" spans="1:82" s="11" customFormat="1" ht="15.75">
      <c r="A4" s="92" t="s">
        <v>73</v>
      </c>
      <c r="B4" s="92"/>
      <c r="C4" s="92"/>
      <c r="D4" s="92"/>
      <c r="E4" s="52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</row>
    <row r="5" spans="1:82" s="11" customFormat="1" ht="15.75">
      <c r="A5" s="92" t="s">
        <v>16</v>
      </c>
      <c r="B5" s="92"/>
      <c r="C5" s="92"/>
      <c r="D5" s="92"/>
      <c r="E5" s="5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</row>
    <row r="7" spans="1:82" s="4" customFormat="1" ht="15" customHeight="1">
      <c r="A7" s="93" t="s">
        <v>17</v>
      </c>
      <c r="B7" s="93"/>
      <c r="C7" s="93"/>
      <c r="D7" s="93"/>
      <c r="E7" s="5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</row>
    <row r="8" ht="15.75" thickBot="1"/>
    <row r="9" spans="1:82" s="9" customFormat="1" ht="45.75" customHeight="1" thickBot="1">
      <c r="A9" s="38" t="s">
        <v>18</v>
      </c>
      <c r="B9" s="39" t="s">
        <v>57</v>
      </c>
      <c r="C9" s="39" t="s">
        <v>19</v>
      </c>
      <c r="D9" s="40" t="s">
        <v>74</v>
      </c>
      <c r="E9" s="55" t="s">
        <v>86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</row>
    <row r="10" spans="1:82" s="10" customFormat="1" ht="15">
      <c r="A10" s="35" t="s">
        <v>20</v>
      </c>
      <c r="B10" s="36" t="s">
        <v>23</v>
      </c>
      <c r="C10" s="37" t="s">
        <v>22</v>
      </c>
      <c r="D10" s="42">
        <v>289984</v>
      </c>
      <c r="E10" s="56">
        <f>'67 ГА 2018г'!C52</f>
        <v>302010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</row>
    <row r="11" spans="1:82" s="10" customFormat="1" ht="15">
      <c r="A11" s="12" t="s">
        <v>21</v>
      </c>
      <c r="B11" s="33" t="s">
        <v>69</v>
      </c>
      <c r="C11" s="14" t="s">
        <v>22</v>
      </c>
      <c r="D11" s="43">
        <v>62297</v>
      </c>
      <c r="E11" s="57">
        <f>'67 ГА 2018г'!D52</f>
        <v>44584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s="10" customFormat="1" ht="15">
      <c r="A12" s="12" t="s">
        <v>24</v>
      </c>
      <c r="B12" s="33" t="s">
        <v>66</v>
      </c>
      <c r="C12" s="14" t="s">
        <v>22</v>
      </c>
      <c r="D12" s="43">
        <v>34923</v>
      </c>
      <c r="E12" s="57">
        <f>'67 ГА 2018г'!E52</f>
        <v>24889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s="10" customFormat="1" ht="15">
      <c r="A13" s="12" t="s">
        <v>25</v>
      </c>
      <c r="B13" s="33" t="s">
        <v>67</v>
      </c>
      <c r="C13" s="14" t="s">
        <v>22</v>
      </c>
      <c r="D13" s="43">
        <v>21261</v>
      </c>
      <c r="E13" s="57">
        <f>'67 ГА 2018г'!F52+'67 ГА 2018г'!G52</f>
        <v>22292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</row>
    <row r="14" spans="1:82" s="10" customFormat="1" ht="15">
      <c r="A14" s="12" t="s">
        <v>71</v>
      </c>
      <c r="B14" s="34" t="s">
        <v>68</v>
      </c>
      <c r="C14" s="41" t="s">
        <v>22</v>
      </c>
      <c r="D14" s="45">
        <v>20238</v>
      </c>
      <c r="E14" s="58">
        <f>'67 ГА 2018г'!H52+'67 ГА 2018г'!I52</f>
        <v>19824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</row>
    <row r="15" spans="1:82" s="10" customFormat="1" ht="30.75" customHeight="1">
      <c r="A15" s="12" t="s">
        <v>26</v>
      </c>
      <c r="B15" s="13" t="s">
        <v>27</v>
      </c>
      <c r="C15" s="14" t="s">
        <v>22</v>
      </c>
      <c r="D15" s="50" t="s">
        <v>75</v>
      </c>
      <c r="E15" s="58">
        <v>-245877.575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</row>
    <row r="16" spans="1:82" s="10" customFormat="1" ht="15">
      <c r="A16" s="12" t="s">
        <v>28</v>
      </c>
      <c r="B16" s="33" t="s">
        <v>69</v>
      </c>
      <c r="C16" s="14" t="s">
        <v>22</v>
      </c>
      <c r="D16" s="50" t="s">
        <v>76</v>
      </c>
      <c r="E16" s="57">
        <f>'67 ГА 2018г'!D9</f>
        <v>63172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</row>
    <row r="17" spans="1:82" s="10" customFormat="1" ht="15" customHeight="1">
      <c r="A17" s="12" t="s">
        <v>29</v>
      </c>
      <c r="B17" s="33" t="s">
        <v>66</v>
      </c>
      <c r="C17" s="14" t="s">
        <v>22</v>
      </c>
      <c r="D17" s="50" t="s">
        <v>77</v>
      </c>
      <c r="E17" s="57">
        <f>'67 ГА 2018г'!E9</f>
        <v>42689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</row>
    <row r="18" spans="1:82" s="10" customFormat="1" ht="15" customHeight="1">
      <c r="A18" s="12" t="s">
        <v>30</v>
      </c>
      <c r="B18" s="33" t="s">
        <v>67</v>
      </c>
      <c r="C18" s="14" t="s">
        <v>22</v>
      </c>
      <c r="D18" s="50" t="s">
        <v>78</v>
      </c>
      <c r="E18" s="57">
        <f>'67 ГА 2018г'!F9+'67 ГА 2018г'!G9</f>
        <v>32617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</row>
    <row r="19" spans="1:82" s="10" customFormat="1" ht="15">
      <c r="A19" s="12" t="s">
        <v>72</v>
      </c>
      <c r="B19" s="34" t="s">
        <v>68</v>
      </c>
      <c r="C19" s="14" t="s">
        <v>22</v>
      </c>
      <c r="D19" s="50" t="s">
        <v>79</v>
      </c>
      <c r="E19" s="57">
        <f>'67 ГА 2018г'!H9+'67 ГА 2018г'!I9</f>
        <v>26364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</row>
    <row r="20" spans="1:82" s="10" customFormat="1" ht="15">
      <c r="A20" s="12" t="s">
        <v>31</v>
      </c>
      <c r="B20" s="13" t="s">
        <v>44</v>
      </c>
      <c r="C20" s="14" t="s">
        <v>22</v>
      </c>
      <c r="D20" s="43">
        <f>D10+D15</f>
        <v>40614</v>
      </c>
      <c r="E20" s="57">
        <f>E10+E15</f>
        <v>56132.42499999999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</row>
    <row r="21" spans="1:82" s="10" customFormat="1" ht="15">
      <c r="A21" s="12" t="s">
        <v>32</v>
      </c>
      <c r="B21" s="13" t="s">
        <v>45</v>
      </c>
      <c r="C21" s="14" t="s">
        <v>22</v>
      </c>
      <c r="D21" s="43" t="s">
        <v>70</v>
      </c>
      <c r="E21" s="57" t="s">
        <v>70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</row>
    <row r="22" spans="1:82" s="10" customFormat="1" ht="15">
      <c r="A22" s="12" t="s">
        <v>33</v>
      </c>
      <c r="B22" s="13" t="s">
        <v>46</v>
      </c>
      <c r="C22" s="14" t="s">
        <v>22</v>
      </c>
      <c r="D22" s="43">
        <v>1285</v>
      </c>
      <c r="E22" s="57">
        <v>2505.23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1:82" s="10" customFormat="1" ht="15">
      <c r="A23" s="12" t="s">
        <v>34</v>
      </c>
      <c r="B23" s="13" t="s">
        <v>47</v>
      </c>
      <c r="C23" s="14" t="s">
        <v>22</v>
      </c>
      <c r="D23" s="50" t="s">
        <v>80</v>
      </c>
      <c r="E23" s="5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</row>
    <row r="24" spans="1:82" s="10" customFormat="1" ht="15">
      <c r="A24" s="12" t="s">
        <v>35</v>
      </c>
      <c r="B24" s="13" t="s">
        <v>48</v>
      </c>
      <c r="C24" s="14" t="s">
        <v>22</v>
      </c>
      <c r="D24" s="43">
        <v>39130</v>
      </c>
      <c r="E24" s="57">
        <v>32260.962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</row>
    <row r="25" spans="1:82" s="10" customFormat="1" ht="15">
      <c r="A25" s="12" t="s">
        <v>36</v>
      </c>
      <c r="B25" s="13" t="s">
        <v>49</v>
      </c>
      <c r="C25" s="14" t="s">
        <v>22</v>
      </c>
      <c r="D25" s="50" t="s">
        <v>81</v>
      </c>
      <c r="E25" s="58">
        <v>-30172.675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spans="1:82" s="10" customFormat="1" ht="15">
      <c r="A26" s="12" t="s">
        <v>37</v>
      </c>
      <c r="B26" s="13" t="s">
        <v>50</v>
      </c>
      <c r="C26" s="14" t="s">
        <v>22</v>
      </c>
      <c r="D26" s="43">
        <f>D20+D22+D23+D24+D25</f>
        <v>5682</v>
      </c>
      <c r="E26" s="57">
        <f>E20+E22+E23+E24+E25</f>
        <v>60725.941999999995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</row>
    <row r="27" spans="1:82" s="10" customFormat="1" ht="15">
      <c r="A27" s="12" t="s">
        <v>38</v>
      </c>
      <c r="B27" s="13" t="s">
        <v>51</v>
      </c>
      <c r="C27" s="14" t="s">
        <v>22</v>
      </c>
      <c r="D27" s="50" t="s">
        <v>82</v>
      </c>
      <c r="E27" s="58">
        <v>-12356.174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</row>
    <row r="28" spans="1:82" s="10" customFormat="1" ht="15" customHeight="1">
      <c r="A28" s="12" t="s">
        <v>39</v>
      </c>
      <c r="B28" s="13" t="s">
        <v>52</v>
      </c>
      <c r="C28" s="14" t="s">
        <v>22</v>
      </c>
      <c r="D28" s="50" t="s">
        <v>83</v>
      </c>
      <c r="E28" s="58">
        <v>-1136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</row>
    <row r="29" spans="1:82" s="10" customFormat="1" ht="15">
      <c r="A29" s="12" t="s">
        <v>40</v>
      </c>
      <c r="B29" s="13" t="s">
        <v>53</v>
      </c>
      <c r="C29" s="14" t="s">
        <v>22</v>
      </c>
      <c r="D29" s="43">
        <v>103</v>
      </c>
      <c r="E29" s="58">
        <v>-1626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</row>
    <row r="30" spans="1:82" s="10" customFormat="1" ht="15">
      <c r="A30" s="12" t="s">
        <v>41</v>
      </c>
      <c r="B30" s="13" t="s">
        <v>54</v>
      </c>
      <c r="C30" s="14" t="s">
        <v>22</v>
      </c>
      <c r="D30" s="50" t="s">
        <v>84</v>
      </c>
      <c r="E30" s="57">
        <v>818.585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</row>
    <row r="31" spans="1:82" s="10" customFormat="1" ht="15">
      <c r="A31" s="12" t="s">
        <v>42</v>
      </c>
      <c r="B31" s="13" t="s">
        <v>55</v>
      </c>
      <c r="C31" s="14" t="s">
        <v>22</v>
      </c>
      <c r="D31" s="50" t="s">
        <v>85</v>
      </c>
      <c r="E31" s="59" t="s">
        <v>143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</row>
    <row r="32" spans="1:82" s="10" customFormat="1" ht="15.75" thickBot="1">
      <c r="A32" s="15" t="s">
        <v>43</v>
      </c>
      <c r="B32" s="16" t="s">
        <v>56</v>
      </c>
      <c r="C32" s="17" t="s">
        <v>22</v>
      </c>
      <c r="D32" s="44">
        <f>D26+D27+D29+D30+D31</f>
        <v>3436</v>
      </c>
      <c r="E32" s="60">
        <f>E26+E27+E29+E30+E31</f>
        <v>47086.352999999996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</row>
  </sheetData>
  <sheetProtection/>
  <mergeCells count="4">
    <mergeCell ref="A3:D3"/>
    <mergeCell ref="A4:D4"/>
    <mergeCell ref="A5:D5"/>
    <mergeCell ref="A7:D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zoomScale="110" zoomScaleNormal="110" zoomScaleSheetLayoutView="100" zoomScalePageLayoutView="0" workbookViewId="0" topLeftCell="A1">
      <selection activeCell="K16" sqref="K16"/>
    </sheetView>
  </sheetViews>
  <sheetFormatPr defaultColWidth="0.875" defaultRowHeight="12.75"/>
  <cols>
    <col min="1" max="1" width="0.875" style="5" customWidth="1"/>
    <col min="2" max="2" width="48.25390625" style="5" customWidth="1"/>
    <col min="3" max="3" width="12.125" style="5" customWidth="1"/>
    <col min="4" max="4" width="9.75390625" style="5" customWidth="1"/>
    <col min="5" max="5" width="10.125" style="5" customWidth="1"/>
    <col min="6" max="6" width="9.625" style="5" customWidth="1"/>
    <col min="7" max="7" width="10.125" style="5" customWidth="1"/>
    <col min="8" max="8" width="7.875" style="5" customWidth="1"/>
    <col min="9" max="9" width="9.25390625" style="5" customWidth="1"/>
    <col min="10" max="10" width="12.625" style="5" customWidth="1"/>
    <col min="11" max="11" width="7.75390625" style="5" customWidth="1"/>
    <col min="12" max="12" width="8.125" style="5" customWidth="1"/>
    <col min="13" max="13" width="8.25390625" style="5" customWidth="1"/>
    <col min="14" max="14" width="5.125" style="5" hidden="1" customWidth="1"/>
    <col min="15" max="16384" width="0.875" style="5" customWidth="1"/>
  </cols>
  <sheetData>
    <row r="1" spans="2:13" s="2" customFormat="1" ht="15" customHeight="1">
      <c r="B1" s="93" t="s">
        <v>144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3.5" customHeight="1"/>
    <row r="3" spans="1:13" s="1" customFormat="1" ht="12.75" customHeight="1">
      <c r="A3" s="96" t="s">
        <v>2</v>
      </c>
      <c r="B3" s="97"/>
      <c r="C3" s="96" t="s">
        <v>3</v>
      </c>
      <c r="D3" s="94" t="s">
        <v>4</v>
      </c>
      <c r="E3" s="95"/>
      <c r="F3" s="95"/>
      <c r="G3" s="95"/>
      <c r="H3" s="95"/>
      <c r="I3" s="95"/>
      <c r="J3" s="95"/>
      <c r="K3" s="95"/>
      <c r="L3" s="95"/>
      <c r="M3" s="95"/>
    </row>
    <row r="4" spans="1:13" s="1" customFormat="1" ht="113.25" customHeight="1">
      <c r="A4" s="98"/>
      <c r="B4" s="99"/>
      <c r="C4" s="100"/>
      <c r="D4" s="19" t="s">
        <v>13</v>
      </c>
      <c r="E4" s="19" t="s">
        <v>14</v>
      </c>
      <c r="F4" s="19" t="s">
        <v>5</v>
      </c>
      <c r="G4" s="19" t="s">
        <v>12</v>
      </c>
      <c r="H4" s="19" t="s">
        <v>6</v>
      </c>
      <c r="I4" s="19" t="s">
        <v>8</v>
      </c>
      <c r="J4" s="19" t="s">
        <v>7</v>
      </c>
      <c r="K4" s="19" t="s">
        <v>10</v>
      </c>
      <c r="L4" s="19" t="s">
        <v>11</v>
      </c>
      <c r="M4" s="19" t="s">
        <v>9</v>
      </c>
    </row>
    <row r="5" spans="1:13" s="1" customFormat="1" ht="12" customHeight="1">
      <c r="A5" s="98"/>
      <c r="B5" s="99"/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</row>
    <row r="6" spans="1:13" s="18" customFormat="1" ht="15" customHeight="1">
      <c r="A6" s="7"/>
      <c r="B6" s="21" t="s">
        <v>58</v>
      </c>
      <c r="C6" s="49">
        <f>SUM(C7:C12)</f>
        <v>164842</v>
      </c>
      <c r="D6" s="49">
        <f aca="true" t="shared" si="0" ref="D6:M6">SUM(D7:D12)</f>
        <v>0</v>
      </c>
      <c r="E6" s="49">
        <f t="shared" si="0"/>
        <v>16911</v>
      </c>
      <c r="F6" s="49">
        <f t="shared" si="0"/>
        <v>81971</v>
      </c>
      <c r="G6" s="49">
        <f t="shared" si="0"/>
        <v>22235</v>
      </c>
      <c r="H6" s="49">
        <f t="shared" si="0"/>
        <v>8714</v>
      </c>
      <c r="I6" s="49">
        <f t="shared" si="0"/>
        <v>35011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4" ht="27" customHeight="1">
      <c r="A7" s="8"/>
      <c r="B7" s="22" t="s">
        <v>59</v>
      </c>
      <c r="C7" s="47">
        <f>'67 ГА 2018г'!D9</f>
        <v>63172</v>
      </c>
      <c r="D7" s="46">
        <v>0</v>
      </c>
      <c r="E7" s="46">
        <f>'67 ГА 2018г'!D20+'67 ГА 2018г'!D28</f>
        <v>8432</v>
      </c>
      <c r="F7" s="46">
        <f>'67 ГА 2018г'!D11</f>
        <v>29851</v>
      </c>
      <c r="G7" s="46">
        <f>'67 ГА 2018г'!D13</f>
        <v>8097</v>
      </c>
      <c r="H7" s="46">
        <f>'67 ГА 2018г'!D15</f>
        <v>3641</v>
      </c>
      <c r="I7" s="46">
        <f>C7-E7-F7-G7-H7</f>
        <v>13151</v>
      </c>
      <c r="J7" s="46">
        <v>0</v>
      </c>
      <c r="K7" s="46">
        <v>0</v>
      </c>
      <c r="L7" s="46">
        <v>0</v>
      </c>
      <c r="M7" s="46">
        <v>0</v>
      </c>
      <c r="N7" s="48">
        <f>C7+'стр.1'!D16</f>
        <v>124701</v>
      </c>
    </row>
    <row r="8" spans="1:14" ht="15" customHeight="1">
      <c r="A8" s="6"/>
      <c r="B8" s="23" t="s">
        <v>60</v>
      </c>
      <c r="C8" s="47">
        <f>'67 ГА 2018г'!F9+'67 ГА 2018г'!G9</f>
        <v>32617</v>
      </c>
      <c r="D8" s="46">
        <v>0</v>
      </c>
      <c r="E8" s="46">
        <f>'67 ГА 2018г'!F20+'67 ГА 2018г'!G20+'67 ГА 2018г'!F28+'67 ГА 2018г'!G28</f>
        <v>3155</v>
      </c>
      <c r="F8" s="46">
        <f>'67 ГА 2018г'!F11+'67 ГА 2018г'!G11</f>
        <v>14551</v>
      </c>
      <c r="G8" s="46">
        <f>'67 ГА 2018г'!F13+'67 ГА 2018г'!G13</f>
        <v>3947</v>
      </c>
      <c r="H8" s="46">
        <f>'67 ГА 2018г'!F15+'67 ГА 2018г'!G15</f>
        <v>2211</v>
      </c>
      <c r="I8" s="46">
        <f aca="true" t="shared" si="1" ref="I8:I13">C8-E8-F8-G8-H8</f>
        <v>8753</v>
      </c>
      <c r="J8" s="46">
        <v>0</v>
      </c>
      <c r="K8" s="46">
        <v>0</v>
      </c>
      <c r="L8" s="46">
        <v>0</v>
      </c>
      <c r="M8" s="46">
        <v>0</v>
      </c>
      <c r="N8" s="48">
        <f>C8+'стр.1'!D18</f>
        <v>59663</v>
      </c>
    </row>
    <row r="9" spans="1:14" ht="15" customHeight="1">
      <c r="A9" s="6"/>
      <c r="B9" s="23" t="s">
        <v>61</v>
      </c>
      <c r="C9" s="47">
        <f>'67 ГА 2018г'!E9</f>
        <v>42689</v>
      </c>
      <c r="D9" s="46">
        <v>0</v>
      </c>
      <c r="E9" s="46">
        <f>'67 ГА 2018г'!E20+'67 ГА 2018г'!E28</f>
        <v>3178</v>
      </c>
      <c r="F9" s="46">
        <f>'67 ГА 2018г'!E11</f>
        <v>25636</v>
      </c>
      <c r="G9" s="46">
        <f>'67 ГА 2018г'!E13</f>
        <v>6954</v>
      </c>
      <c r="H9" s="46">
        <f>'67 ГА 2018г'!E15</f>
        <v>1517</v>
      </c>
      <c r="I9" s="46">
        <f t="shared" si="1"/>
        <v>5404</v>
      </c>
      <c r="J9" s="46">
        <v>0</v>
      </c>
      <c r="K9" s="46">
        <v>0</v>
      </c>
      <c r="L9" s="46">
        <v>0</v>
      </c>
      <c r="M9" s="46">
        <v>0</v>
      </c>
      <c r="N9" s="48">
        <f>C9+'стр.1'!D17</f>
        <v>80157</v>
      </c>
    </row>
    <row r="10" spans="1:14" ht="15" customHeight="1">
      <c r="A10" s="6"/>
      <c r="B10" s="24" t="s">
        <v>62</v>
      </c>
      <c r="C10" s="47">
        <f>'67 ГА 2018г'!H9+'67 ГА 2018г'!I9</f>
        <v>26364</v>
      </c>
      <c r="D10" s="46">
        <v>0</v>
      </c>
      <c r="E10" s="46">
        <f>'67 ГА 2018г'!H20+'67 ГА 2018г'!I20+'67 ГА 2018г'!H28+'67 ГА 2018г'!I28</f>
        <v>2146</v>
      </c>
      <c r="F10" s="46">
        <f>'67 ГА 2018г'!H11+'67 ГА 2018г'!I11</f>
        <v>11933</v>
      </c>
      <c r="G10" s="46">
        <f>'67 ГА 2018г'!H13+'67 ГА 2018г'!I13</f>
        <v>3237</v>
      </c>
      <c r="H10" s="46">
        <f>'67 ГА 2018г'!H15+'67 ГА 2018г'!I15</f>
        <v>1345</v>
      </c>
      <c r="I10" s="46">
        <f t="shared" si="1"/>
        <v>7703</v>
      </c>
      <c r="J10" s="46">
        <v>0</v>
      </c>
      <c r="K10" s="46">
        <v>0</v>
      </c>
      <c r="L10" s="46">
        <v>0</v>
      </c>
      <c r="M10" s="46">
        <v>0</v>
      </c>
      <c r="N10" s="48">
        <f>C10+'стр.1'!D19</f>
        <v>48795</v>
      </c>
    </row>
    <row r="11" spans="1:13" ht="27.75" customHeight="1">
      <c r="A11" s="6"/>
      <c r="B11" s="23" t="s">
        <v>63</v>
      </c>
      <c r="C11" s="47">
        <f>SUM(D11:M11)</f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/>
      <c r="J11" s="46">
        <v>0</v>
      </c>
      <c r="K11" s="46">
        <v>0</v>
      </c>
      <c r="L11" s="46">
        <v>0</v>
      </c>
      <c r="M11" s="46">
        <v>0</v>
      </c>
    </row>
    <row r="12" spans="1:13" ht="15" customHeight="1">
      <c r="A12" s="6"/>
      <c r="B12" s="23" t="s">
        <v>64</v>
      </c>
      <c r="C12" s="47">
        <f>SUM(D12:M12)</f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>
        <v>0</v>
      </c>
      <c r="K12" s="46">
        <v>0</v>
      </c>
      <c r="L12" s="46">
        <v>0</v>
      </c>
      <c r="M12" s="46">
        <v>0</v>
      </c>
    </row>
    <row r="13" spans="1:13" ht="15" customHeight="1">
      <c r="A13" s="7"/>
      <c r="B13" s="25" t="s">
        <v>65</v>
      </c>
      <c r="C13" s="46">
        <f>'67 ГА 2018г'!C9</f>
        <v>245878</v>
      </c>
      <c r="D13" s="46">
        <v>0</v>
      </c>
      <c r="E13" s="46">
        <f>'67 ГА 2018г'!C20+'67 ГА 2018г'!C28</f>
        <v>28913</v>
      </c>
      <c r="F13" s="46">
        <f>'67 ГА 2018г'!C11</f>
        <v>121134</v>
      </c>
      <c r="G13" s="46">
        <f>'67 ГА 2018г'!C13</f>
        <v>32857</v>
      </c>
      <c r="H13" s="46">
        <f>'67 ГА 2018г'!C15</f>
        <v>13830</v>
      </c>
      <c r="I13" s="46">
        <f t="shared" si="1"/>
        <v>49144</v>
      </c>
      <c r="J13" s="46">
        <v>0</v>
      </c>
      <c r="K13" s="46">
        <v>0</v>
      </c>
      <c r="L13" s="46">
        <v>0</v>
      </c>
      <c r="M13" s="46">
        <v>0</v>
      </c>
    </row>
    <row r="14" spans="1:13" ht="15" customHeight="1">
      <c r="A14" s="6"/>
      <c r="B14" s="25" t="s">
        <v>1</v>
      </c>
      <c r="C14" s="46">
        <f>SUM(D14:M14)</f>
        <v>-43812.263999999996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91">
        <f>'стр.1'!E23</f>
        <v>0</v>
      </c>
      <c r="L14" s="91">
        <f>'стр.1'!E27+'стр.1'!E29+'стр.1'!E30</f>
        <v>-13163.589</v>
      </c>
      <c r="M14" s="91">
        <f>'стр.1'!E25+'стр.1'!E31</f>
        <v>-30648.675</v>
      </c>
    </row>
  </sheetData>
  <sheetProtection/>
  <mergeCells count="4">
    <mergeCell ref="B1:M1"/>
    <mergeCell ref="D3:M3"/>
    <mergeCell ref="A3:B5"/>
    <mergeCell ref="C3:C4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66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N9" sqref="N9"/>
    </sheetView>
  </sheetViews>
  <sheetFormatPr defaultColWidth="9.00390625" defaultRowHeight="12.75"/>
  <cols>
    <col min="1" max="1" width="32.125" style="0" customWidth="1"/>
  </cols>
  <sheetData>
    <row r="4" spans="1:14" ht="15.75">
      <c r="A4" s="61"/>
      <c r="B4" s="102" t="s">
        <v>87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1"/>
    </row>
    <row r="5" spans="1:14" ht="15.75">
      <c r="A5" s="101" t="s">
        <v>88</v>
      </c>
      <c r="B5" s="101" t="s">
        <v>89</v>
      </c>
      <c r="C5" s="101" t="s">
        <v>90</v>
      </c>
      <c r="D5" s="101" t="s">
        <v>91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.75">
      <c r="A6" s="103"/>
      <c r="B6" s="103"/>
      <c r="C6" s="104"/>
      <c r="D6" s="101" t="s">
        <v>92</v>
      </c>
      <c r="E6" s="101" t="s">
        <v>93</v>
      </c>
      <c r="F6" s="101" t="s">
        <v>94</v>
      </c>
      <c r="G6" s="101"/>
      <c r="H6" s="101" t="s">
        <v>68</v>
      </c>
      <c r="I6" s="101"/>
      <c r="J6" s="101" t="s">
        <v>95</v>
      </c>
      <c r="K6" s="101"/>
      <c r="L6" s="101" t="s">
        <v>96</v>
      </c>
      <c r="M6" s="101" t="s">
        <v>97</v>
      </c>
      <c r="N6" s="101" t="s">
        <v>98</v>
      </c>
    </row>
    <row r="7" spans="1:14" ht="15.75">
      <c r="A7" s="103"/>
      <c r="B7" s="103"/>
      <c r="C7" s="104"/>
      <c r="D7" s="104"/>
      <c r="E7" s="105"/>
      <c r="F7" s="62" t="s">
        <v>99</v>
      </c>
      <c r="G7" s="62" t="s">
        <v>100</v>
      </c>
      <c r="H7" s="62" t="s">
        <v>99</v>
      </c>
      <c r="I7" s="62" t="s">
        <v>100</v>
      </c>
      <c r="J7" s="62" t="s">
        <v>99</v>
      </c>
      <c r="K7" s="62" t="s">
        <v>100</v>
      </c>
      <c r="L7" s="101"/>
      <c r="M7" s="101"/>
      <c r="N7" s="101"/>
    </row>
    <row r="8" spans="1:14" ht="12.75">
      <c r="A8" s="63" t="s">
        <v>101</v>
      </c>
      <c r="B8" s="63" t="s">
        <v>102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</row>
    <row r="9" spans="1:14" ht="28.5">
      <c r="A9" s="64" t="s">
        <v>103</v>
      </c>
      <c r="B9" s="65">
        <v>280</v>
      </c>
      <c r="C9" s="66">
        <f>D9+E9+F9+G9+H9+I9+J9+K9+L9+M9+N9</f>
        <v>245878</v>
      </c>
      <c r="D9" s="66">
        <f aca="true" t="shared" si="0" ref="D9:K9">D11+D13+D15+D20+D26+D31+D35+D37</f>
        <v>63172</v>
      </c>
      <c r="E9" s="66">
        <f t="shared" si="0"/>
        <v>42689</v>
      </c>
      <c r="F9" s="66">
        <f t="shared" si="0"/>
        <v>20028</v>
      </c>
      <c r="G9" s="66">
        <f t="shared" si="0"/>
        <v>12589</v>
      </c>
      <c r="H9" s="66">
        <f t="shared" si="0"/>
        <v>15612</v>
      </c>
      <c r="I9" s="66">
        <f t="shared" si="0"/>
        <v>10752</v>
      </c>
      <c r="J9" s="66">
        <f t="shared" si="0"/>
        <v>16584</v>
      </c>
      <c r="K9" s="66">
        <f t="shared" si="0"/>
        <v>9269</v>
      </c>
      <c r="L9" s="66"/>
      <c r="M9" s="66">
        <f>M11+M13+M15+M20+M26+M31+M35+M37</f>
        <v>38497</v>
      </c>
      <c r="N9" s="66">
        <f>N11+N13+N15+N20+N26+N31+N35+N37</f>
        <v>16686</v>
      </c>
    </row>
    <row r="10" spans="1:14" ht="15.75">
      <c r="A10" s="64"/>
      <c r="B10" s="65"/>
      <c r="C10" s="66"/>
      <c r="D10" s="67">
        <f>D9*100/$C9</f>
        <v>25.69241656431238</v>
      </c>
      <c r="E10" s="67">
        <f aca="true" t="shared" si="1" ref="E10:N10">E9*100/$C9</f>
        <v>17.361862387037473</v>
      </c>
      <c r="F10" s="67">
        <f t="shared" si="1"/>
        <v>8.145503054360292</v>
      </c>
      <c r="G10" s="67">
        <f t="shared" si="1"/>
        <v>5.1200188711474794</v>
      </c>
      <c r="H10" s="67">
        <f t="shared" si="1"/>
        <v>6.349490397676897</v>
      </c>
      <c r="I10" s="67">
        <f t="shared" si="1"/>
        <v>4.372900381490007</v>
      </c>
      <c r="J10" s="67">
        <f t="shared" si="1"/>
        <v>6.744808400914274</v>
      </c>
      <c r="K10" s="67">
        <f t="shared" si="1"/>
        <v>3.7697557325177526</v>
      </c>
      <c r="L10" s="67"/>
      <c r="M10" s="67">
        <f t="shared" si="1"/>
        <v>15.65695182163512</v>
      </c>
      <c r="N10" s="67">
        <f t="shared" si="1"/>
        <v>6.78629238890832</v>
      </c>
    </row>
    <row r="11" spans="1:14" ht="15.75">
      <c r="A11" s="68" t="s">
        <v>104</v>
      </c>
      <c r="B11" s="69">
        <v>290</v>
      </c>
      <c r="C11" s="70">
        <f>D11+E11+F11+G11+H11+I11+J11+K11+L11+M11+N11</f>
        <v>121134</v>
      </c>
      <c r="D11" s="66">
        <v>29851</v>
      </c>
      <c r="E11" s="66">
        <v>25636</v>
      </c>
      <c r="F11" s="70">
        <v>8501</v>
      </c>
      <c r="G11" s="70">
        <v>6050</v>
      </c>
      <c r="H11" s="66">
        <v>7052</v>
      </c>
      <c r="I11" s="66">
        <v>4881</v>
      </c>
      <c r="J11" s="66">
        <v>8166</v>
      </c>
      <c r="K11" s="66">
        <v>3692</v>
      </c>
      <c r="L11" s="66"/>
      <c r="M11" s="66">
        <v>20264</v>
      </c>
      <c r="N11" s="66">
        <v>7041</v>
      </c>
    </row>
    <row r="12" spans="1:14" ht="15.75">
      <c r="A12" s="68"/>
      <c r="B12" s="69"/>
      <c r="C12" s="70"/>
      <c r="D12" s="67">
        <f>D11*100/$C11</f>
        <v>24.6429573860353</v>
      </c>
      <c r="E12" s="67">
        <f aca="true" t="shared" si="2" ref="E12:K12">E11*100/$C11</f>
        <v>21.163339772483365</v>
      </c>
      <c r="F12" s="67">
        <f t="shared" si="2"/>
        <v>7.017848003037958</v>
      </c>
      <c r="G12" s="67">
        <f t="shared" si="2"/>
        <v>4.994468935228755</v>
      </c>
      <c r="H12" s="67">
        <f t="shared" si="2"/>
        <v>5.821652054749286</v>
      </c>
      <c r="I12" s="67">
        <f t="shared" si="2"/>
        <v>4.029421962454802</v>
      </c>
      <c r="J12" s="67">
        <f t="shared" si="2"/>
        <v>6.741294764475705</v>
      </c>
      <c r="K12" s="67">
        <f t="shared" si="2"/>
        <v>3.047864348572655</v>
      </c>
      <c r="L12" s="67"/>
      <c r="M12" s="67">
        <f>M11*100/$C11</f>
        <v>16.728581570822396</v>
      </c>
      <c r="N12" s="67">
        <f>N11*100/$C11</f>
        <v>5.812571202139779</v>
      </c>
    </row>
    <row r="13" spans="1:14" ht="31.5">
      <c r="A13" s="64" t="s">
        <v>105</v>
      </c>
      <c r="B13" s="65">
        <v>300</v>
      </c>
      <c r="C13" s="70">
        <f aca="true" t="shared" si="3" ref="C13:C58">D13+E13+F13+G13+H13+I13+J13+K13+L13+M13+N13</f>
        <v>32857</v>
      </c>
      <c r="D13" s="66">
        <v>8097</v>
      </c>
      <c r="E13" s="66">
        <v>6954</v>
      </c>
      <c r="F13" s="66">
        <v>2306</v>
      </c>
      <c r="G13" s="66">
        <v>1641</v>
      </c>
      <c r="H13" s="66">
        <v>1913</v>
      </c>
      <c r="I13" s="66">
        <v>1324</v>
      </c>
      <c r="J13" s="66">
        <v>2215</v>
      </c>
      <c r="K13" s="66">
        <v>1001</v>
      </c>
      <c r="L13" s="66"/>
      <c r="M13" s="66">
        <v>5497</v>
      </c>
      <c r="N13" s="66">
        <v>1909</v>
      </c>
    </row>
    <row r="14" spans="1:14" ht="15.75">
      <c r="A14" s="71"/>
      <c r="B14" s="65"/>
      <c r="C14" s="70"/>
      <c r="D14" s="67">
        <f>D13*100/$C13</f>
        <v>24.64315062239401</v>
      </c>
      <c r="E14" s="67">
        <f aca="true" t="shared" si="4" ref="E14:K14">E13*100/$C13</f>
        <v>21.164439845390632</v>
      </c>
      <c r="F14" s="67">
        <f t="shared" si="4"/>
        <v>7.0182913838755825</v>
      </c>
      <c r="G14" s="67">
        <f t="shared" si="4"/>
        <v>4.994369540737134</v>
      </c>
      <c r="H14" s="67">
        <f t="shared" si="4"/>
        <v>5.822199226953161</v>
      </c>
      <c r="I14" s="67">
        <f t="shared" si="4"/>
        <v>4.029582737316249</v>
      </c>
      <c r="J14" s="67">
        <f t="shared" si="4"/>
        <v>6.741333657972426</v>
      </c>
      <c r="K14" s="67">
        <f t="shared" si="4"/>
        <v>3.046534984934717</v>
      </c>
      <c r="L14" s="67"/>
      <c r="M14" s="67">
        <f>M13*100/$C13</f>
        <v>16.730072739446694</v>
      </c>
      <c r="N14" s="67">
        <f>N13*100/$C13</f>
        <v>5.810025260979396</v>
      </c>
    </row>
    <row r="15" spans="1:14" ht="28.5">
      <c r="A15" s="71" t="s">
        <v>106</v>
      </c>
      <c r="B15" s="65">
        <v>310</v>
      </c>
      <c r="C15" s="70">
        <f t="shared" si="3"/>
        <v>13830</v>
      </c>
      <c r="D15" s="66">
        <f>D17+D18+D19</f>
        <v>3641</v>
      </c>
      <c r="E15" s="66">
        <f aca="true" t="shared" si="5" ref="E15:N15">E17+E18+E19</f>
        <v>1517</v>
      </c>
      <c r="F15" s="66">
        <f t="shared" si="5"/>
        <v>1732</v>
      </c>
      <c r="G15" s="66">
        <f t="shared" si="5"/>
        <v>479</v>
      </c>
      <c r="H15" s="66">
        <f t="shared" si="5"/>
        <v>978</v>
      </c>
      <c r="I15" s="66">
        <f t="shared" si="5"/>
        <v>367</v>
      </c>
      <c r="J15" s="66">
        <f t="shared" si="5"/>
        <v>389</v>
      </c>
      <c r="K15" s="66">
        <f t="shared" si="5"/>
        <v>316</v>
      </c>
      <c r="L15" s="66"/>
      <c r="M15" s="66">
        <f t="shared" si="5"/>
        <v>3187</v>
      </c>
      <c r="N15" s="66">
        <f t="shared" si="5"/>
        <v>1224</v>
      </c>
    </row>
    <row r="16" spans="1:14" ht="15.75">
      <c r="A16" s="72" t="s">
        <v>107</v>
      </c>
      <c r="B16" s="65"/>
      <c r="C16" s="70"/>
      <c r="D16" s="67">
        <f>D15*100/$C15</f>
        <v>26.326825741142443</v>
      </c>
      <c r="E16" s="67">
        <f aca="true" t="shared" si="6" ref="E16:K16">E15*100/$C15</f>
        <v>10.968908170643529</v>
      </c>
      <c r="F16" s="67">
        <f t="shared" si="6"/>
        <v>12.5234996384671</v>
      </c>
      <c r="G16" s="67">
        <f t="shared" si="6"/>
        <v>3.463485177151121</v>
      </c>
      <c r="H16" s="67">
        <f t="shared" si="6"/>
        <v>7.071583514099783</v>
      </c>
      <c r="I16" s="67">
        <f t="shared" si="6"/>
        <v>2.653651482284888</v>
      </c>
      <c r="J16" s="67">
        <f t="shared" si="6"/>
        <v>2.8127259580621837</v>
      </c>
      <c r="K16" s="67">
        <f t="shared" si="6"/>
        <v>2.284887924801157</v>
      </c>
      <c r="L16" s="67"/>
      <c r="M16" s="67">
        <f>M15*100/$C15</f>
        <v>23.04410701373825</v>
      </c>
      <c r="N16" s="67">
        <f>N15*100/$C15</f>
        <v>8.850325379609545</v>
      </c>
    </row>
    <row r="17" spans="1:14" ht="15.75">
      <c r="A17" s="73" t="s">
        <v>108</v>
      </c>
      <c r="B17" s="69">
        <v>311</v>
      </c>
      <c r="C17" s="70">
        <f>D17+E17+F17+G17+H17+I17+J17+K17+M17+N17</f>
        <v>4173</v>
      </c>
      <c r="D17" s="66">
        <v>2454</v>
      </c>
      <c r="E17" s="66">
        <v>21</v>
      </c>
      <c r="F17" s="66">
        <v>368</v>
      </c>
      <c r="G17" s="66">
        <v>49</v>
      </c>
      <c r="H17" s="66">
        <v>182</v>
      </c>
      <c r="I17" s="66">
        <v>27</v>
      </c>
      <c r="J17" s="66">
        <v>7</v>
      </c>
      <c r="K17" s="66">
        <v>6</v>
      </c>
      <c r="L17" s="66"/>
      <c r="M17" s="66">
        <v>79</v>
      </c>
      <c r="N17" s="66">
        <v>980</v>
      </c>
    </row>
    <row r="18" spans="1:14" ht="15.75">
      <c r="A18" s="74" t="s">
        <v>109</v>
      </c>
      <c r="B18" s="69">
        <v>312</v>
      </c>
      <c r="C18" s="70">
        <f>D18+E18+F18+G18+H18+I18+J18+K18+M18+N18</f>
        <v>3072</v>
      </c>
      <c r="D18" s="66">
        <v>241</v>
      </c>
      <c r="E18" s="66">
        <v>154</v>
      </c>
      <c r="F18" s="66">
        <v>978</v>
      </c>
      <c r="G18" s="66">
        <v>213</v>
      </c>
      <c r="H18" s="66">
        <v>530</v>
      </c>
      <c r="I18" s="66">
        <v>156</v>
      </c>
      <c r="J18" s="66">
        <v>144</v>
      </c>
      <c r="K18" s="66">
        <v>116</v>
      </c>
      <c r="L18" s="66"/>
      <c r="M18" s="66">
        <v>478</v>
      </c>
      <c r="N18" s="66">
        <v>62</v>
      </c>
    </row>
    <row r="19" spans="1:14" ht="15.75">
      <c r="A19" s="75" t="s">
        <v>110</v>
      </c>
      <c r="B19" s="69">
        <v>313</v>
      </c>
      <c r="C19" s="70">
        <f>D19+E19+F19+G19+H19+I19+J19+K19+M19+N19</f>
        <v>6585</v>
      </c>
      <c r="D19" s="66">
        <v>946</v>
      </c>
      <c r="E19" s="66">
        <v>1342</v>
      </c>
      <c r="F19" s="66">
        <v>386</v>
      </c>
      <c r="G19" s="66">
        <v>217</v>
      </c>
      <c r="H19" s="66">
        <v>266</v>
      </c>
      <c r="I19" s="66">
        <v>184</v>
      </c>
      <c r="J19" s="66">
        <v>238</v>
      </c>
      <c r="K19" s="66">
        <v>194</v>
      </c>
      <c r="L19" s="66"/>
      <c r="M19" s="66">
        <v>2630</v>
      </c>
      <c r="N19" s="66">
        <v>182</v>
      </c>
    </row>
    <row r="20" spans="1:14" ht="60">
      <c r="A20" s="76" t="s">
        <v>111</v>
      </c>
      <c r="B20" s="69">
        <v>320</v>
      </c>
      <c r="C20" s="70">
        <f t="shared" si="3"/>
        <v>25655</v>
      </c>
      <c r="D20" s="66">
        <f>D22+D23+D24+D25</f>
        <v>6241</v>
      </c>
      <c r="E20" s="66">
        <f aca="true" t="shared" si="7" ref="E20:N20">E22+E23+E24+E25</f>
        <v>3084</v>
      </c>
      <c r="F20" s="66">
        <f t="shared" si="7"/>
        <v>2130</v>
      </c>
      <c r="G20" s="66">
        <f t="shared" si="7"/>
        <v>807</v>
      </c>
      <c r="H20" s="66">
        <f t="shared" si="7"/>
        <v>1333</v>
      </c>
      <c r="I20" s="66">
        <f t="shared" si="7"/>
        <v>699</v>
      </c>
      <c r="J20" s="66">
        <f t="shared" si="7"/>
        <v>2078</v>
      </c>
      <c r="K20" s="66">
        <f t="shared" si="7"/>
        <v>837</v>
      </c>
      <c r="L20" s="66"/>
      <c r="M20" s="66">
        <f t="shared" si="7"/>
        <v>4554</v>
      </c>
      <c r="N20" s="66">
        <f t="shared" si="7"/>
        <v>3892</v>
      </c>
    </row>
    <row r="21" spans="1:14" ht="15.75">
      <c r="A21" s="73" t="s">
        <v>107</v>
      </c>
      <c r="B21" s="69"/>
      <c r="C21" s="70"/>
      <c r="D21" s="67">
        <f>D20*100/$C20</f>
        <v>24.326641980120833</v>
      </c>
      <c r="E21" s="67">
        <f aca="true" t="shared" si="8" ref="E21:K21">E20*100/$C20</f>
        <v>12.021048528551939</v>
      </c>
      <c r="F21" s="67">
        <f t="shared" si="8"/>
        <v>8.302475151042682</v>
      </c>
      <c r="G21" s="67">
        <f t="shared" si="8"/>
        <v>3.1455856558175794</v>
      </c>
      <c r="H21" s="67">
        <f t="shared" si="8"/>
        <v>5.195868251802768</v>
      </c>
      <c r="I21" s="67">
        <f t="shared" si="8"/>
        <v>2.7246150847787955</v>
      </c>
      <c r="J21" s="67">
        <f t="shared" si="8"/>
        <v>8.099785616838822</v>
      </c>
      <c r="K21" s="67">
        <f t="shared" si="8"/>
        <v>3.262521925550575</v>
      </c>
      <c r="L21" s="67"/>
      <c r="M21" s="67">
        <f>M20*100/$C20</f>
        <v>17.75092574546872</v>
      </c>
      <c r="N21" s="67">
        <f>N20*100/$C20</f>
        <v>15.170532060027286</v>
      </c>
    </row>
    <row r="22" spans="1:14" ht="15.75">
      <c r="A22" s="73" t="s">
        <v>108</v>
      </c>
      <c r="B22" s="69">
        <v>321</v>
      </c>
      <c r="C22" s="70">
        <f t="shared" si="3"/>
        <v>5895</v>
      </c>
      <c r="D22" s="66">
        <v>2396</v>
      </c>
      <c r="E22" s="66">
        <v>468</v>
      </c>
      <c r="F22" s="66">
        <v>623</v>
      </c>
      <c r="G22" s="66">
        <v>136</v>
      </c>
      <c r="H22" s="66">
        <v>332</v>
      </c>
      <c r="I22" s="66">
        <v>98</v>
      </c>
      <c r="J22" s="66">
        <v>565</v>
      </c>
      <c r="K22" s="66">
        <v>143</v>
      </c>
      <c r="L22" s="66"/>
      <c r="M22" s="66">
        <v>1035</v>
      </c>
      <c r="N22" s="66">
        <v>99</v>
      </c>
    </row>
    <row r="23" spans="1:14" ht="31.5">
      <c r="A23" s="73" t="s">
        <v>112</v>
      </c>
      <c r="B23" s="69">
        <v>322</v>
      </c>
      <c r="C23" s="70">
        <f t="shared" si="3"/>
        <v>14906</v>
      </c>
      <c r="D23" s="66">
        <v>2826</v>
      </c>
      <c r="E23" s="66">
        <v>2230</v>
      </c>
      <c r="F23" s="66">
        <v>1172</v>
      </c>
      <c r="G23" s="66">
        <v>394</v>
      </c>
      <c r="H23" s="66">
        <v>701</v>
      </c>
      <c r="I23" s="66">
        <v>329</v>
      </c>
      <c r="J23" s="66">
        <v>1235</v>
      </c>
      <c r="K23" s="66">
        <v>427</v>
      </c>
      <c r="L23" s="66"/>
      <c r="M23" s="66">
        <v>3043</v>
      </c>
      <c r="N23" s="66">
        <v>2549</v>
      </c>
    </row>
    <row r="24" spans="1:14" ht="15.75">
      <c r="A24" s="73" t="s">
        <v>113</v>
      </c>
      <c r="B24" s="69">
        <v>323</v>
      </c>
      <c r="C24" s="7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75" t="s">
        <v>110</v>
      </c>
      <c r="B25" s="69">
        <v>324</v>
      </c>
      <c r="C25" s="70">
        <f t="shared" si="3"/>
        <v>4854</v>
      </c>
      <c r="D25" s="66">
        <v>1019</v>
      </c>
      <c r="E25" s="66">
        <v>386</v>
      </c>
      <c r="F25" s="66">
        <v>335</v>
      </c>
      <c r="G25" s="66">
        <v>277</v>
      </c>
      <c r="H25" s="66">
        <v>300</v>
      </c>
      <c r="I25" s="66">
        <v>272</v>
      </c>
      <c r="J25" s="66">
        <v>278</v>
      </c>
      <c r="K25" s="66">
        <v>267</v>
      </c>
      <c r="L25" s="66"/>
      <c r="M25" s="66">
        <v>476</v>
      </c>
      <c r="N25" s="66">
        <v>1244</v>
      </c>
    </row>
    <row r="26" spans="1:14" ht="28.5">
      <c r="A26" s="76" t="s">
        <v>114</v>
      </c>
      <c r="B26" s="69">
        <v>330</v>
      </c>
      <c r="C26" s="66">
        <f t="shared" si="3"/>
        <v>3383</v>
      </c>
      <c r="D26" s="70">
        <f>D28+D29+D30</f>
        <v>2203</v>
      </c>
      <c r="E26" s="70">
        <f aca="true" t="shared" si="9" ref="E26:N26">E28+E29+E30</f>
        <v>102</v>
      </c>
      <c r="F26" s="70">
        <f>F28+F29+F30</f>
        <v>195</v>
      </c>
      <c r="G26" s="70">
        <f t="shared" si="9"/>
        <v>40</v>
      </c>
      <c r="H26" s="70">
        <f t="shared" si="9"/>
        <v>101</v>
      </c>
      <c r="I26" s="70">
        <f t="shared" si="9"/>
        <v>24</v>
      </c>
      <c r="J26" s="70">
        <f t="shared" si="9"/>
        <v>130</v>
      </c>
      <c r="K26" s="70">
        <f t="shared" si="9"/>
        <v>31</v>
      </c>
      <c r="L26" s="70"/>
      <c r="M26" s="70">
        <f t="shared" si="9"/>
        <v>293</v>
      </c>
      <c r="N26" s="70">
        <f t="shared" si="9"/>
        <v>264</v>
      </c>
    </row>
    <row r="27" spans="1:14" ht="15.75">
      <c r="A27" s="73" t="s">
        <v>107</v>
      </c>
      <c r="B27" s="69"/>
      <c r="C27" s="66"/>
      <c r="D27" s="67">
        <f>D26*100/$C26</f>
        <v>65.11971622819982</v>
      </c>
      <c r="E27" s="67">
        <f aca="true" t="shared" si="10" ref="E27:K27">E26*100/$C26</f>
        <v>3.0150753768844223</v>
      </c>
      <c r="F27" s="67">
        <f t="shared" si="10"/>
        <v>5.764114691102572</v>
      </c>
      <c r="G27" s="67">
        <f t="shared" si="10"/>
        <v>1.182382500738989</v>
      </c>
      <c r="H27" s="67">
        <f t="shared" si="10"/>
        <v>2.9855158143659475</v>
      </c>
      <c r="I27" s="67">
        <f t="shared" si="10"/>
        <v>0.7094295004433935</v>
      </c>
      <c r="J27" s="67">
        <f t="shared" si="10"/>
        <v>3.8427431274017145</v>
      </c>
      <c r="K27" s="67">
        <f t="shared" si="10"/>
        <v>0.9163464380727165</v>
      </c>
      <c r="L27" s="67"/>
      <c r="M27" s="67">
        <f>M26*100/$C26</f>
        <v>8.660951817913094</v>
      </c>
      <c r="N27" s="67">
        <f>N26*100/$C26</f>
        <v>7.803724504877327</v>
      </c>
    </row>
    <row r="28" spans="1:14" ht="15.75">
      <c r="A28" s="73" t="s">
        <v>115</v>
      </c>
      <c r="B28" s="69">
        <v>331</v>
      </c>
      <c r="C28" s="70">
        <f t="shared" si="3"/>
        <v>3258</v>
      </c>
      <c r="D28" s="66">
        <v>2191</v>
      </c>
      <c r="E28" s="66">
        <v>94</v>
      </c>
      <c r="F28" s="66">
        <v>183</v>
      </c>
      <c r="G28" s="66">
        <v>35</v>
      </c>
      <c r="H28" s="66">
        <v>93</v>
      </c>
      <c r="I28" s="66">
        <v>21</v>
      </c>
      <c r="J28" s="66">
        <v>127</v>
      </c>
      <c r="K28" s="66">
        <v>29</v>
      </c>
      <c r="L28" s="66"/>
      <c r="M28" s="66">
        <v>259</v>
      </c>
      <c r="N28" s="66">
        <v>226</v>
      </c>
    </row>
    <row r="29" spans="1:14" ht="15.75">
      <c r="A29" s="73" t="s">
        <v>116</v>
      </c>
      <c r="B29" s="69">
        <v>332</v>
      </c>
      <c r="C29" s="70">
        <f t="shared" si="3"/>
        <v>23</v>
      </c>
      <c r="D29" s="66">
        <v>1</v>
      </c>
      <c r="E29" s="70">
        <v>1</v>
      </c>
      <c r="F29" s="66">
        <v>8</v>
      </c>
      <c r="G29" s="66">
        <v>1</v>
      </c>
      <c r="H29" s="66">
        <v>4</v>
      </c>
      <c r="I29" s="66"/>
      <c r="J29" s="66"/>
      <c r="K29" s="66"/>
      <c r="L29" s="66"/>
      <c r="M29" s="70"/>
      <c r="N29" s="66">
        <v>8</v>
      </c>
    </row>
    <row r="30" spans="1:14" ht="15.75">
      <c r="A30" s="75" t="s">
        <v>110</v>
      </c>
      <c r="B30" s="69">
        <v>333</v>
      </c>
      <c r="C30" s="70">
        <f t="shared" si="3"/>
        <v>102</v>
      </c>
      <c r="D30" s="66">
        <f>5+6</f>
        <v>11</v>
      </c>
      <c r="E30" s="70">
        <f>4+3</f>
        <v>7</v>
      </c>
      <c r="F30" s="70">
        <f>3+1</f>
        <v>4</v>
      </c>
      <c r="G30" s="66">
        <f>3+1</f>
        <v>4</v>
      </c>
      <c r="H30" s="70">
        <f>3+1</f>
        <v>4</v>
      </c>
      <c r="I30" s="66">
        <v>3</v>
      </c>
      <c r="J30" s="66">
        <f>2+1</f>
        <v>3</v>
      </c>
      <c r="K30" s="70">
        <v>2</v>
      </c>
      <c r="L30" s="66"/>
      <c r="M30" s="66">
        <f>4+30</f>
        <v>34</v>
      </c>
      <c r="N30" s="66">
        <v>30</v>
      </c>
    </row>
    <row r="31" spans="1:14" ht="47.25">
      <c r="A31" s="76" t="s">
        <v>117</v>
      </c>
      <c r="B31" s="69">
        <v>340</v>
      </c>
      <c r="C31" s="70">
        <f t="shared" si="3"/>
        <v>5992</v>
      </c>
      <c r="D31" s="66">
        <f>D33+D34</f>
        <v>3718</v>
      </c>
      <c r="E31" s="66">
        <f aca="true" t="shared" si="11" ref="E31:N31">E33+E34</f>
        <v>267</v>
      </c>
      <c r="F31" s="66">
        <f t="shared" si="11"/>
        <v>738</v>
      </c>
      <c r="G31" s="66">
        <f t="shared" si="11"/>
        <v>166</v>
      </c>
      <c r="H31" s="66">
        <f t="shared" si="11"/>
        <v>406</v>
      </c>
      <c r="I31" s="66">
        <f t="shared" si="11"/>
        <v>123</v>
      </c>
      <c r="J31" s="66">
        <f t="shared" si="11"/>
        <v>269</v>
      </c>
      <c r="K31" s="66">
        <f t="shared" si="11"/>
        <v>116</v>
      </c>
      <c r="L31" s="66">
        <f t="shared" si="11"/>
        <v>0</v>
      </c>
      <c r="M31" s="66">
        <f t="shared" si="11"/>
        <v>119</v>
      </c>
      <c r="N31" s="66">
        <f t="shared" si="11"/>
        <v>70</v>
      </c>
    </row>
    <row r="32" spans="1:14" ht="15.75">
      <c r="A32" s="73" t="s">
        <v>107</v>
      </c>
      <c r="B32" s="69"/>
      <c r="C32" s="77"/>
      <c r="D32" s="67">
        <f>D31*100/$C31</f>
        <v>62.04939919893191</v>
      </c>
      <c r="E32" s="67">
        <f aca="true" t="shared" si="12" ref="E32:K32">E31*100/$C31</f>
        <v>4.4559412550066755</v>
      </c>
      <c r="F32" s="67">
        <f t="shared" si="12"/>
        <v>12.316421895861149</v>
      </c>
      <c r="G32" s="67">
        <f t="shared" si="12"/>
        <v>2.7703604806408544</v>
      </c>
      <c r="H32" s="67">
        <f t="shared" si="12"/>
        <v>6.775700934579439</v>
      </c>
      <c r="I32" s="67">
        <f t="shared" si="12"/>
        <v>2.0527369826435247</v>
      </c>
      <c r="J32" s="67">
        <f t="shared" si="12"/>
        <v>4.48931909212283</v>
      </c>
      <c r="K32" s="67">
        <f t="shared" si="12"/>
        <v>1.9359145527369825</v>
      </c>
      <c r="L32" s="67"/>
      <c r="M32" s="67">
        <f>M31*100/$C31</f>
        <v>1.985981308411215</v>
      </c>
      <c r="N32" s="67">
        <f>N31*100/$C31</f>
        <v>1.1682242990654206</v>
      </c>
    </row>
    <row r="33" spans="1:14" ht="31.5">
      <c r="A33" s="73" t="s">
        <v>118</v>
      </c>
      <c r="B33" s="69">
        <v>341</v>
      </c>
      <c r="C33" s="70">
        <f t="shared" si="3"/>
        <v>1997</v>
      </c>
      <c r="D33" s="66">
        <v>263</v>
      </c>
      <c r="E33" s="66">
        <v>111</v>
      </c>
      <c r="F33" s="66">
        <v>540</v>
      </c>
      <c r="G33" s="66">
        <v>142</v>
      </c>
      <c r="H33" s="66">
        <v>308</v>
      </c>
      <c r="I33" s="66">
        <v>112</v>
      </c>
      <c r="J33" s="66">
        <v>269</v>
      </c>
      <c r="K33" s="66">
        <v>116</v>
      </c>
      <c r="L33" s="66"/>
      <c r="M33" s="66">
        <v>119</v>
      </c>
      <c r="N33" s="66">
        <v>17</v>
      </c>
    </row>
    <row r="34" spans="1:14" ht="15.75">
      <c r="A34" s="75" t="s">
        <v>110</v>
      </c>
      <c r="B34" s="69">
        <v>342</v>
      </c>
      <c r="C34" s="70">
        <f t="shared" si="3"/>
        <v>3995</v>
      </c>
      <c r="D34" s="66">
        <v>3455</v>
      </c>
      <c r="E34" s="66">
        <v>156</v>
      </c>
      <c r="F34" s="70">
        <v>198</v>
      </c>
      <c r="G34" s="70">
        <v>24</v>
      </c>
      <c r="H34" s="70">
        <v>98</v>
      </c>
      <c r="I34" s="70">
        <v>11</v>
      </c>
      <c r="J34" s="70"/>
      <c r="K34" s="70"/>
      <c r="L34" s="70"/>
      <c r="M34" s="70"/>
      <c r="N34" s="66">
        <v>53</v>
      </c>
    </row>
    <row r="35" spans="1:14" ht="31.5">
      <c r="A35" s="68" t="s">
        <v>119</v>
      </c>
      <c r="B35" s="69">
        <v>350</v>
      </c>
      <c r="C35" s="70">
        <f t="shared" si="3"/>
        <v>11924</v>
      </c>
      <c r="D35" s="66">
        <v>5428</v>
      </c>
      <c r="E35" s="70">
        <v>1695</v>
      </c>
      <c r="F35" s="66">
        <v>1298</v>
      </c>
      <c r="G35" s="66">
        <v>409</v>
      </c>
      <c r="H35" s="66">
        <v>780</v>
      </c>
      <c r="I35" s="66">
        <v>348</v>
      </c>
      <c r="J35" s="66">
        <v>304</v>
      </c>
      <c r="K35" s="66">
        <v>293</v>
      </c>
      <c r="L35" s="66"/>
      <c r="M35" s="66">
        <f>803+300</f>
        <v>1103</v>
      </c>
      <c r="N35" s="70">
        <v>266</v>
      </c>
    </row>
    <row r="36" spans="1:14" ht="15.75">
      <c r="A36" s="68"/>
      <c r="B36" s="69"/>
      <c r="C36" s="70"/>
      <c r="D36" s="67">
        <f>D35*100/$C35</f>
        <v>45.521637034552164</v>
      </c>
      <c r="E36" s="67">
        <f aca="true" t="shared" si="13" ref="E36:K36">E35*100/$C35</f>
        <v>14.215028513921503</v>
      </c>
      <c r="F36" s="67">
        <f t="shared" si="13"/>
        <v>10.885608856088561</v>
      </c>
      <c r="G36" s="67">
        <f t="shared" si="13"/>
        <v>3.430057027843006</v>
      </c>
      <c r="H36" s="67">
        <f t="shared" si="13"/>
        <v>6.541429050654143</v>
      </c>
      <c r="I36" s="67">
        <f t="shared" si="13"/>
        <v>2.9184837302918485</v>
      </c>
      <c r="J36" s="67">
        <f t="shared" si="13"/>
        <v>2.549480040254948</v>
      </c>
      <c r="K36" s="67">
        <f t="shared" si="13"/>
        <v>2.457229117745723</v>
      </c>
      <c r="L36" s="67"/>
      <c r="M36" s="67">
        <f>M35*100/$C35</f>
        <v>9.250251593425025</v>
      </c>
      <c r="N36" s="67">
        <f>N35*100/$C35</f>
        <v>2.2307950352230796</v>
      </c>
    </row>
    <row r="37" spans="1:14" ht="15.75">
      <c r="A37" s="68" t="s">
        <v>120</v>
      </c>
      <c r="B37" s="69">
        <v>360</v>
      </c>
      <c r="C37" s="70">
        <f t="shared" si="3"/>
        <v>31103</v>
      </c>
      <c r="D37" s="66">
        <v>3993</v>
      </c>
      <c r="E37" s="66">
        <v>3434</v>
      </c>
      <c r="F37" s="66">
        <v>3128</v>
      </c>
      <c r="G37" s="70">
        <v>2997</v>
      </c>
      <c r="H37" s="66">
        <v>3049</v>
      </c>
      <c r="I37" s="66">
        <v>2986</v>
      </c>
      <c r="J37" s="66">
        <v>3033</v>
      </c>
      <c r="K37" s="66">
        <v>2983</v>
      </c>
      <c r="L37" s="66"/>
      <c r="M37" s="66">
        <v>3480</v>
      </c>
      <c r="N37" s="70">
        <v>2020</v>
      </c>
    </row>
    <row r="38" spans="1:14" ht="15.75">
      <c r="A38" s="76"/>
      <c r="B38" s="69"/>
      <c r="C38" s="70"/>
      <c r="D38" s="67">
        <f>D37*100/$C37</f>
        <v>12.837989904510819</v>
      </c>
      <c r="E38" s="67">
        <f aca="true" t="shared" si="14" ref="E38:K38">E37*100/$C37</f>
        <v>11.040735620358165</v>
      </c>
      <c r="F38" s="67">
        <f t="shared" si="14"/>
        <v>10.056907693791596</v>
      </c>
      <c r="G38" s="67">
        <f t="shared" si="14"/>
        <v>9.635726457254927</v>
      </c>
      <c r="H38" s="67">
        <f t="shared" si="14"/>
        <v>9.802912902292384</v>
      </c>
      <c r="I38" s="67">
        <f t="shared" si="14"/>
        <v>9.60036009388162</v>
      </c>
      <c r="J38" s="67">
        <f t="shared" si="14"/>
        <v>9.751470919203935</v>
      </c>
      <c r="K38" s="67">
        <f t="shared" si="14"/>
        <v>9.590714722052535</v>
      </c>
      <c r="L38" s="67"/>
      <c r="M38" s="67">
        <f>M37*100/$C37</f>
        <v>11.188631321737454</v>
      </c>
      <c r="N38" s="67">
        <f>N37*100/$C37</f>
        <v>6.4945503649165675</v>
      </c>
    </row>
    <row r="39" spans="1:14" ht="15.75">
      <c r="A39" s="76" t="s">
        <v>121</v>
      </c>
      <c r="B39" s="78">
        <v>370</v>
      </c>
      <c r="C39" s="70" t="s">
        <v>122</v>
      </c>
      <c r="D39" s="79">
        <f>D42+D43+D41</f>
        <v>120.41</v>
      </c>
      <c r="E39" s="79">
        <f aca="true" t="shared" si="15" ref="E39:K39">E42+E43+E41</f>
        <v>120.41</v>
      </c>
      <c r="F39" s="66">
        <f t="shared" si="15"/>
        <v>338020</v>
      </c>
      <c r="G39" s="66">
        <f t="shared" si="15"/>
        <v>38754</v>
      </c>
      <c r="H39" s="66">
        <f t="shared" si="15"/>
        <v>164356</v>
      </c>
      <c r="I39" s="66">
        <f t="shared" si="15"/>
        <v>18490</v>
      </c>
      <c r="J39" s="80">
        <f t="shared" si="15"/>
        <v>2029</v>
      </c>
      <c r="K39" s="80">
        <f t="shared" si="15"/>
        <v>308.9</v>
      </c>
      <c r="L39" s="66"/>
      <c r="M39" s="66"/>
      <c r="N39" s="66"/>
    </row>
    <row r="40" spans="1:14" ht="15.75">
      <c r="A40" s="73" t="s">
        <v>123</v>
      </c>
      <c r="B40" s="78"/>
      <c r="C40" s="70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.75">
      <c r="A41" s="73" t="s">
        <v>124</v>
      </c>
      <c r="B41" s="78">
        <v>371</v>
      </c>
      <c r="C41" s="70" t="s">
        <v>122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5.75">
      <c r="A42" s="73" t="s">
        <v>125</v>
      </c>
      <c r="B42" s="78">
        <v>372</v>
      </c>
      <c r="C42" s="70" t="s">
        <v>122</v>
      </c>
      <c r="D42" s="79">
        <v>115.981</v>
      </c>
      <c r="E42" s="79">
        <v>115.981</v>
      </c>
      <c r="F42" s="66">
        <v>337883</v>
      </c>
      <c r="G42" s="66">
        <v>32145</v>
      </c>
      <c r="H42" s="66">
        <v>164278</v>
      </c>
      <c r="I42" s="66">
        <v>15607</v>
      </c>
      <c r="J42" s="80">
        <v>2029</v>
      </c>
      <c r="K42" s="80">
        <v>308.9</v>
      </c>
      <c r="L42" s="66"/>
      <c r="M42" s="66"/>
      <c r="N42" s="66"/>
    </row>
    <row r="43" spans="1:14" ht="15.75">
      <c r="A43" s="73" t="s">
        <v>126</v>
      </c>
      <c r="B43" s="78">
        <v>373</v>
      </c>
      <c r="C43" s="70" t="s">
        <v>122</v>
      </c>
      <c r="D43" s="79">
        <v>4.429</v>
      </c>
      <c r="E43" s="79">
        <v>4.429</v>
      </c>
      <c r="F43" s="66">
        <v>137</v>
      </c>
      <c r="G43" s="66">
        <v>6609</v>
      </c>
      <c r="H43" s="66">
        <v>78</v>
      </c>
      <c r="I43" s="66">
        <v>2883</v>
      </c>
      <c r="J43" s="79"/>
      <c r="K43" s="80"/>
      <c r="L43" s="66"/>
      <c r="M43" s="66"/>
      <c r="N43" s="66"/>
    </row>
    <row r="44" spans="1:14" ht="25.5">
      <c r="A44" s="75" t="s">
        <v>19</v>
      </c>
      <c r="B44" s="78">
        <v>374</v>
      </c>
      <c r="C44" s="70" t="s">
        <v>122</v>
      </c>
      <c r="D44" s="81" t="s">
        <v>127</v>
      </c>
      <c r="E44" s="81" t="s">
        <v>127</v>
      </c>
      <c r="F44" s="81" t="s">
        <v>128</v>
      </c>
      <c r="G44" s="81" t="s">
        <v>128</v>
      </c>
      <c r="H44" s="81" t="s">
        <v>128</v>
      </c>
      <c r="I44" s="81" t="s">
        <v>128</v>
      </c>
      <c r="J44" s="81" t="s">
        <v>129</v>
      </c>
      <c r="K44" s="81" t="s">
        <v>129</v>
      </c>
      <c r="L44" s="82"/>
      <c r="M44" s="82" t="s">
        <v>122</v>
      </c>
      <c r="N44" s="82" t="s">
        <v>122</v>
      </c>
    </row>
    <row r="45" spans="1:14" ht="15.75">
      <c r="A45" s="76" t="s">
        <v>130</v>
      </c>
      <c r="B45" s="78">
        <v>380</v>
      </c>
      <c r="C45" s="70" t="s">
        <v>122</v>
      </c>
      <c r="D45" s="66">
        <f>D9/D39</f>
        <v>524.6408105639067</v>
      </c>
      <c r="E45" s="66">
        <f>E9/E39</f>
        <v>354.5303546217092</v>
      </c>
      <c r="F45" s="66">
        <f aca="true" t="shared" si="16" ref="F45:K45">F9/F39*1000</f>
        <v>59.25093189752086</v>
      </c>
      <c r="G45" s="66">
        <f t="shared" si="16"/>
        <v>324.8438870826237</v>
      </c>
      <c r="H45" s="66">
        <f t="shared" si="16"/>
        <v>94.98892647667259</v>
      </c>
      <c r="I45" s="66">
        <f t="shared" si="16"/>
        <v>581.5035154137371</v>
      </c>
      <c r="J45" s="66">
        <f t="shared" si="16"/>
        <v>8173.484475110891</v>
      </c>
      <c r="K45" s="66">
        <f t="shared" si="16"/>
        <v>30006.474587245066</v>
      </c>
      <c r="L45" s="66"/>
      <c r="M45" s="66"/>
      <c r="N45" s="66"/>
    </row>
    <row r="46" spans="1:14" ht="15.75">
      <c r="A46" s="75" t="s">
        <v>19</v>
      </c>
      <c r="B46" s="78">
        <v>381</v>
      </c>
      <c r="C46" s="70" t="s">
        <v>122</v>
      </c>
      <c r="D46" s="83" t="s">
        <v>131</v>
      </c>
      <c r="E46" s="83" t="s">
        <v>131</v>
      </c>
      <c r="F46" s="83" t="s">
        <v>132</v>
      </c>
      <c r="G46" s="83" t="s">
        <v>132</v>
      </c>
      <c r="H46" s="83" t="s">
        <v>132</v>
      </c>
      <c r="I46" s="83" t="s">
        <v>132</v>
      </c>
      <c r="J46" s="83" t="s">
        <v>133</v>
      </c>
      <c r="K46" s="83" t="s">
        <v>133</v>
      </c>
      <c r="L46" s="66"/>
      <c r="M46" s="66" t="s">
        <v>122</v>
      </c>
      <c r="N46" s="66" t="s">
        <v>122</v>
      </c>
    </row>
    <row r="47" spans="1:14" ht="47.25">
      <c r="A47" s="76" t="s">
        <v>134</v>
      </c>
      <c r="B47" s="78">
        <v>390</v>
      </c>
      <c r="C47" s="70">
        <f>C49+C50+C51</f>
        <v>245878</v>
      </c>
      <c r="D47" s="66">
        <f aca="true" t="shared" si="17" ref="D47:K47">D9</f>
        <v>63172</v>
      </c>
      <c r="E47" s="66">
        <f t="shared" si="17"/>
        <v>42689</v>
      </c>
      <c r="F47" s="66">
        <f t="shared" si="17"/>
        <v>20028</v>
      </c>
      <c r="G47" s="66">
        <f t="shared" si="17"/>
        <v>12589</v>
      </c>
      <c r="H47" s="66">
        <f t="shared" si="17"/>
        <v>15612</v>
      </c>
      <c r="I47" s="66">
        <f t="shared" si="17"/>
        <v>10752</v>
      </c>
      <c r="J47" s="66">
        <f t="shared" si="17"/>
        <v>16584</v>
      </c>
      <c r="K47" s="66">
        <f t="shared" si="17"/>
        <v>9269</v>
      </c>
      <c r="L47" s="66"/>
      <c r="M47" s="66">
        <f>M9</f>
        <v>38497</v>
      </c>
      <c r="N47" s="66">
        <f>N9</f>
        <v>16686</v>
      </c>
    </row>
    <row r="48" spans="1:14" ht="15.75">
      <c r="A48" s="73" t="s">
        <v>135</v>
      </c>
      <c r="B48" s="78">
        <v>391</v>
      </c>
      <c r="C48" s="7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5.75">
      <c r="A49" s="72" t="s">
        <v>136</v>
      </c>
      <c r="B49" s="84">
        <v>392</v>
      </c>
      <c r="C49" s="70">
        <f t="shared" si="3"/>
        <v>218491</v>
      </c>
      <c r="D49" s="66">
        <v>58399</v>
      </c>
      <c r="E49" s="66">
        <v>39282</v>
      </c>
      <c r="F49" s="66">
        <v>19384</v>
      </c>
      <c r="G49" s="66">
        <v>9915</v>
      </c>
      <c r="H49" s="66">
        <v>14651</v>
      </c>
      <c r="I49" s="66">
        <v>8271</v>
      </c>
      <c r="J49" s="66">
        <v>16266</v>
      </c>
      <c r="K49" s="66">
        <v>10223</v>
      </c>
      <c r="L49" s="66"/>
      <c r="M49" s="66">
        <v>42100</v>
      </c>
      <c r="N49" s="66"/>
    </row>
    <row r="50" spans="1:14" ht="15.75">
      <c r="A50" s="72" t="s">
        <v>137</v>
      </c>
      <c r="B50" s="84">
        <v>393</v>
      </c>
      <c r="C50" s="70">
        <f t="shared" si="3"/>
        <v>8793</v>
      </c>
      <c r="D50" s="66">
        <v>2230</v>
      </c>
      <c r="E50" s="66">
        <v>1500</v>
      </c>
      <c r="F50" s="66">
        <v>8</v>
      </c>
      <c r="G50" s="66">
        <v>2039</v>
      </c>
      <c r="H50" s="66">
        <v>7</v>
      </c>
      <c r="I50" s="66">
        <v>1528</v>
      </c>
      <c r="J50" s="66"/>
      <c r="K50" s="66"/>
      <c r="L50" s="66"/>
      <c r="M50" s="66">
        <v>1481</v>
      </c>
      <c r="N50" s="66"/>
    </row>
    <row r="51" spans="1:14" ht="15.75">
      <c r="A51" s="85" t="s">
        <v>110</v>
      </c>
      <c r="B51" s="84">
        <v>394</v>
      </c>
      <c r="C51" s="70">
        <f t="shared" si="3"/>
        <v>18594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>
        <v>18594</v>
      </c>
    </row>
    <row r="52" spans="1:14" ht="31.5">
      <c r="A52" s="71" t="s">
        <v>138</v>
      </c>
      <c r="B52" s="84">
        <v>400</v>
      </c>
      <c r="C52" s="70">
        <f t="shared" si="3"/>
        <v>302010</v>
      </c>
      <c r="D52" s="66">
        <f>D53+D57+D58</f>
        <v>44584</v>
      </c>
      <c r="E52" s="66">
        <f aca="true" t="shared" si="18" ref="E52:N52">E53+E57+E58</f>
        <v>24889</v>
      </c>
      <c r="F52" s="66">
        <f t="shared" si="18"/>
        <v>11049</v>
      </c>
      <c r="G52" s="66">
        <f t="shared" si="18"/>
        <v>11243</v>
      </c>
      <c r="H52" s="66">
        <f t="shared" si="18"/>
        <v>12204</v>
      </c>
      <c r="I52" s="66">
        <f t="shared" si="18"/>
        <v>7620</v>
      </c>
      <c r="J52" s="66">
        <f t="shared" si="18"/>
        <v>16001</v>
      </c>
      <c r="K52" s="66">
        <f t="shared" si="18"/>
        <v>2252</v>
      </c>
      <c r="L52" s="66"/>
      <c r="M52" s="66">
        <f t="shared" si="18"/>
        <v>118957</v>
      </c>
      <c r="N52" s="66">
        <f t="shared" si="18"/>
        <v>53211</v>
      </c>
    </row>
    <row r="53" spans="1:14" ht="31.5">
      <c r="A53" s="72" t="s">
        <v>139</v>
      </c>
      <c r="B53" s="84">
        <v>401</v>
      </c>
      <c r="C53" s="70">
        <f t="shared" si="3"/>
        <v>248799</v>
      </c>
      <c r="D53" s="66">
        <f>D55+D56</f>
        <v>44584</v>
      </c>
      <c r="E53" s="66">
        <f aca="true" t="shared" si="19" ref="E53:N53">E55+E56</f>
        <v>24889</v>
      </c>
      <c r="F53" s="66">
        <f t="shared" si="19"/>
        <v>11049</v>
      </c>
      <c r="G53" s="66">
        <f t="shared" si="19"/>
        <v>11243</v>
      </c>
      <c r="H53" s="66">
        <f t="shared" si="19"/>
        <v>12204</v>
      </c>
      <c r="I53" s="66">
        <f t="shared" si="19"/>
        <v>7620</v>
      </c>
      <c r="J53" s="66">
        <f t="shared" si="19"/>
        <v>16001</v>
      </c>
      <c r="K53" s="66">
        <f t="shared" si="19"/>
        <v>2252</v>
      </c>
      <c r="L53" s="66"/>
      <c r="M53" s="66">
        <f t="shared" si="19"/>
        <v>118957</v>
      </c>
      <c r="N53" s="66">
        <f t="shared" si="19"/>
        <v>0</v>
      </c>
    </row>
    <row r="54" spans="1:14" ht="15.75">
      <c r="A54" s="72" t="s">
        <v>140</v>
      </c>
      <c r="B54" s="84"/>
      <c r="C54" s="70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5.75">
      <c r="A55" s="86" t="s">
        <v>125</v>
      </c>
      <c r="B55" s="84">
        <v>402</v>
      </c>
      <c r="C55" s="70">
        <f t="shared" si="3"/>
        <v>238994</v>
      </c>
      <c r="D55" s="66">
        <v>42520</v>
      </c>
      <c r="E55" s="66">
        <v>23887</v>
      </c>
      <c r="F55" s="66">
        <v>10991</v>
      </c>
      <c r="G55" s="66">
        <v>9603</v>
      </c>
      <c r="H55" s="66">
        <v>12186</v>
      </c>
      <c r="I55" s="66">
        <v>6640</v>
      </c>
      <c r="J55" s="66">
        <v>16001</v>
      </c>
      <c r="K55" s="66">
        <v>2252</v>
      </c>
      <c r="L55" s="66"/>
      <c r="M55" s="66">
        <v>114914</v>
      </c>
      <c r="N55" s="66"/>
    </row>
    <row r="56" spans="1:14" ht="15.75">
      <c r="A56" s="86" t="s">
        <v>126</v>
      </c>
      <c r="B56" s="84">
        <v>403</v>
      </c>
      <c r="C56" s="70">
        <f t="shared" si="3"/>
        <v>9805</v>
      </c>
      <c r="D56" s="66">
        <v>2064</v>
      </c>
      <c r="E56" s="66">
        <v>1002</v>
      </c>
      <c r="F56" s="66">
        <v>58</v>
      </c>
      <c r="G56" s="66">
        <v>1640</v>
      </c>
      <c r="H56" s="66">
        <v>18</v>
      </c>
      <c r="I56" s="66">
        <v>980</v>
      </c>
      <c r="J56" s="66"/>
      <c r="K56" s="66"/>
      <c r="L56" s="66"/>
      <c r="M56" s="66">
        <v>4043</v>
      </c>
      <c r="N56" s="66"/>
    </row>
    <row r="57" spans="1:14" ht="15.75">
      <c r="A57" s="86" t="s">
        <v>141</v>
      </c>
      <c r="B57" s="84">
        <v>404</v>
      </c>
      <c r="C57" s="70">
        <f t="shared" si="3"/>
        <v>0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5.75">
      <c r="A58" s="87" t="s">
        <v>110</v>
      </c>
      <c r="B58" s="84">
        <v>405</v>
      </c>
      <c r="C58" s="70">
        <f t="shared" si="3"/>
        <v>53211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>
        <v>53211</v>
      </c>
    </row>
    <row r="59" spans="1:14" ht="15.75">
      <c r="A59" s="64" t="s">
        <v>142</v>
      </c>
      <c r="B59" s="84">
        <v>410</v>
      </c>
      <c r="C59" s="70">
        <f aca="true" t="shared" si="20" ref="C59:K59">C52-C9</f>
        <v>56132</v>
      </c>
      <c r="D59" s="70">
        <f t="shared" si="20"/>
        <v>-18588</v>
      </c>
      <c r="E59" s="70">
        <f t="shared" si="20"/>
        <v>-17800</v>
      </c>
      <c r="F59" s="70">
        <f t="shared" si="20"/>
        <v>-8979</v>
      </c>
      <c r="G59" s="70">
        <f t="shared" si="20"/>
        <v>-1346</v>
      </c>
      <c r="H59" s="70">
        <f t="shared" si="20"/>
        <v>-3408</v>
      </c>
      <c r="I59" s="70">
        <f t="shared" si="20"/>
        <v>-3132</v>
      </c>
      <c r="J59" s="70">
        <f t="shared" si="20"/>
        <v>-583</v>
      </c>
      <c r="K59" s="70">
        <f t="shared" si="20"/>
        <v>-7017</v>
      </c>
      <c r="L59" s="70"/>
      <c r="M59" s="70">
        <f>M52-M9</f>
        <v>80460</v>
      </c>
      <c r="N59" s="70">
        <f>N52-N9</f>
        <v>36525</v>
      </c>
    </row>
    <row r="60" spans="1:14" ht="15.75">
      <c r="A60" s="88"/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4" ht="15.75">
      <c r="A61" s="88"/>
      <c r="B61" s="88"/>
      <c r="C61" s="90"/>
      <c r="D61" s="90">
        <f>D59/D9*100</f>
        <v>-29.424428544291775</v>
      </c>
      <c r="E61" s="90">
        <f aca="true" t="shared" si="21" ref="E61:N61">E59/E9*100</f>
        <v>-41.69692426620441</v>
      </c>
      <c r="F61" s="90">
        <f t="shared" si="21"/>
        <v>-44.83223487118035</v>
      </c>
      <c r="G61" s="90">
        <f t="shared" si="21"/>
        <v>-10.691873858130114</v>
      </c>
      <c r="H61" s="90">
        <f t="shared" si="21"/>
        <v>-21.8293620292083</v>
      </c>
      <c r="I61" s="90">
        <f t="shared" si="21"/>
        <v>-29.129464285714285</v>
      </c>
      <c r="J61" s="90">
        <f t="shared" si="21"/>
        <v>-3.5154365653642063</v>
      </c>
      <c r="K61" s="90">
        <f t="shared" si="21"/>
        <v>-75.70395943467472</v>
      </c>
      <c r="L61" s="90"/>
      <c r="M61" s="90">
        <f t="shared" si="21"/>
        <v>209.00329895836038</v>
      </c>
      <c r="N61" s="90">
        <f t="shared" si="21"/>
        <v>218.89608054656597</v>
      </c>
    </row>
    <row r="62" spans="1:14" ht="15.75">
      <c r="A62" s="88"/>
      <c r="B62" s="88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 ht="15.75">
      <c r="A63" s="88"/>
      <c r="B63" s="88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14" ht="15.75">
      <c r="A64" s="88"/>
      <c r="B64" s="88"/>
      <c r="C64" s="89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ht="15.75">
      <c r="A65" s="88"/>
      <c r="B65" s="88"/>
      <c r="C65" s="89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ht="15.75">
      <c r="A66" s="88"/>
      <c r="B66" s="88"/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</sheetData>
  <sheetProtection/>
  <mergeCells count="13">
    <mergeCell ref="F6:G6"/>
    <mergeCell ref="H6:I6"/>
    <mergeCell ref="J6:K6"/>
    <mergeCell ref="L6:L7"/>
    <mergeCell ref="M6:M7"/>
    <mergeCell ref="N6:N7"/>
    <mergeCell ref="B4:M4"/>
    <mergeCell ref="A5:A7"/>
    <mergeCell ref="B5:B7"/>
    <mergeCell ref="C5:C7"/>
    <mergeCell ref="D5:N5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Татьяна Михайловна</cp:lastModifiedBy>
  <cp:lastPrinted>2019-03-28T07:40:17Z</cp:lastPrinted>
  <dcterms:created xsi:type="dcterms:W3CDTF">2011-01-11T10:25:48Z</dcterms:created>
  <dcterms:modified xsi:type="dcterms:W3CDTF">2019-03-29T01:26:13Z</dcterms:modified>
  <cp:category/>
  <cp:version/>
  <cp:contentType/>
  <cp:contentStatus/>
</cp:coreProperties>
</file>